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f\Desktop\"/>
    </mc:Choice>
  </mc:AlternateContent>
  <xr:revisionPtr revIDLastSave="0" documentId="13_ncr:1_{258C4ECA-0EAB-48B2-85AE-39544F4C5C0D}" xr6:coauthVersionLast="47" xr6:coauthVersionMax="47" xr10:uidLastSave="{00000000-0000-0000-0000-000000000000}"/>
  <bookViews>
    <workbookView xWindow="-110" yWindow="-110" windowWidth="19420" windowHeight="10420" tabRatio="603" firstSheet="3" activeTab="7" xr2:uid="{5EC4CEE8-5E0A-466D-85F2-8E2920C8EB87}"/>
  </bookViews>
  <sheets>
    <sheet name="Tabla buena" sheetId="8" r:id="rId1"/>
    <sheet name="Calculos" sheetId="10" r:id="rId2"/>
    <sheet name="TEAC PATRON" sheetId="7" r:id="rId3"/>
    <sheet name="MDA PATRON" sheetId="9" r:id="rId4"/>
    <sheet name="TFG_datos" sheetId="6" r:id="rId5"/>
    <sheet name="Hoja en sucio" sheetId="1" r:id="rId6"/>
    <sheet name="Organizacion diseño" sheetId="2" r:id="rId7"/>
    <sheet name="Tabla metodos prueba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6" i="8" l="1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8" i="10"/>
  <c r="U14" i="10"/>
  <c r="U22" i="10"/>
  <c r="U30" i="10"/>
  <c r="U38" i="10"/>
  <c r="U46" i="10"/>
  <c r="U54" i="10"/>
  <c r="U59" i="10"/>
  <c r="U62" i="10"/>
  <c r="U67" i="10"/>
  <c r="U70" i="10"/>
  <c r="U75" i="10"/>
  <c r="U78" i="10"/>
  <c r="U83" i="10"/>
  <c r="U86" i="10"/>
  <c r="U94" i="10"/>
  <c r="U102" i="10"/>
  <c r="T98" i="10"/>
  <c r="U98" i="10" s="1"/>
  <c r="T12" i="10"/>
  <c r="U12" i="10" s="1"/>
  <c r="T27" i="10"/>
  <c r="U27" i="10" s="1"/>
  <c r="T35" i="10"/>
  <c r="U35" i="10" s="1"/>
  <c r="T53" i="10"/>
  <c r="U53" i="10" s="1"/>
  <c r="S9" i="10"/>
  <c r="T9" i="10" s="1"/>
  <c r="U9" i="10" s="1"/>
  <c r="S10" i="10"/>
  <c r="T10" i="10" s="1"/>
  <c r="U10" i="10" s="1"/>
  <c r="S11" i="10"/>
  <c r="T11" i="10" s="1"/>
  <c r="U11" i="10" s="1"/>
  <c r="S12" i="10"/>
  <c r="S13" i="10"/>
  <c r="T13" i="10" s="1"/>
  <c r="U13" i="10" s="1"/>
  <c r="S14" i="10"/>
  <c r="T14" i="10" s="1"/>
  <c r="S15" i="10"/>
  <c r="T15" i="10" s="1"/>
  <c r="U15" i="10" s="1"/>
  <c r="S16" i="10"/>
  <c r="T16" i="10" s="1"/>
  <c r="U16" i="10" s="1"/>
  <c r="S17" i="10"/>
  <c r="T17" i="10" s="1"/>
  <c r="U17" i="10" s="1"/>
  <c r="S18" i="10"/>
  <c r="T18" i="10" s="1"/>
  <c r="U18" i="10" s="1"/>
  <c r="S19" i="10"/>
  <c r="T19" i="10" s="1"/>
  <c r="U19" i="10" s="1"/>
  <c r="S20" i="10"/>
  <c r="T20" i="10" s="1"/>
  <c r="U20" i="10" s="1"/>
  <c r="S21" i="10"/>
  <c r="T21" i="10" s="1"/>
  <c r="U21" i="10" s="1"/>
  <c r="S22" i="10"/>
  <c r="T22" i="10" s="1"/>
  <c r="S23" i="10"/>
  <c r="T23" i="10" s="1"/>
  <c r="U23" i="10" s="1"/>
  <c r="S24" i="10"/>
  <c r="T24" i="10" s="1"/>
  <c r="U24" i="10" s="1"/>
  <c r="S25" i="10"/>
  <c r="T25" i="10" s="1"/>
  <c r="U25" i="10" s="1"/>
  <c r="S26" i="10"/>
  <c r="T26" i="10" s="1"/>
  <c r="U26" i="10" s="1"/>
  <c r="S27" i="10"/>
  <c r="S28" i="10"/>
  <c r="T28" i="10" s="1"/>
  <c r="U28" i="10" s="1"/>
  <c r="S29" i="10"/>
  <c r="T29" i="10" s="1"/>
  <c r="U29" i="10" s="1"/>
  <c r="S30" i="10"/>
  <c r="T30" i="10" s="1"/>
  <c r="S31" i="10"/>
  <c r="T31" i="10" s="1"/>
  <c r="U31" i="10" s="1"/>
  <c r="S32" i="10"/>
  <c r="T32" i="10" s="1"/>
  <c r="U32" i="10" s="1"/>
  <c r="S33" i="10"/>
  <c r="T33" i="10" s="1"/>
  <c r="U33" i="10" s="1"/>
  <c r="S34" i="10"/>
  <c r="T34" i="10" s="1"/>
  <c r="U34" i="10" s="1"/>
  <c r="S35" i="10"/>
  <c r="S36" i="10"/>
  <c r="T36" i="10" s="1"/>
  <c r="U36" i="10" s="1"/>
  <c r="S37" i="10"/>
  <c r="T37" i="10" s="1"/>
  <c r="U37" i="10" s="1"/>
  <c r="S38" i="10"/>
  <c r="T38" i="10" s="1"/>
  <c r="S39" i="10"/>
  <c r="T39" i="10" s="1"/>
  <c r="U39" i="10" s="1"/>
  <c r="S40" i="10"/>
  <c r="T40" i="10" s="1"/>
  <c r="U40" i="10" s="1"/>
  <c r="S41" i="10"/>
  <c r="T41" i="10" s="1"/>
  <c r="U41" i="10" s="1"/>
  <c r="S42" i="10"/>
  <c r="T42" i="10" s="1"/>
  <c r="U42" i="10" s="1"/>
  <c r="S43" i="10"/>
  <c r="T43" i="10" s="1"/>
  <c r="U43" i="10" s="1"/>
  <c r="S44" i="10"/>
  <c r="T44" i="10" s="1"/>
  <c r="U44" i="10" s="1"/>
  <c r="S45" i="10"/>
  <c r="T45" i="10" s="1"/>
  <c r="U45" i="10" s="1"/>
  <c r="S46" i="10"/>
  <c r="T46" i="10" s="1"/>
  <c r="S47" i="10"/>
  <c r="T47" i="10" s="1"/>
  <c r="U47" i="10" s="1"/>
  <c r="S48" i="10"/>
  <c r="T48" i="10" s="1"/>
  <c r="U48" i="10" s="1"/>
  <c r="S49" i="10"/>
  <c r="T49" i="10" s="1"/>
  <c r="U49" i="10" s="1"/>
  <c r="S50" i="10"/>
  <c r="T50" i="10" s="1"/>
  <c r="U50" i="10" s="1"/>
  <c r="S51" i="10"/>
  <c r="T51" i="10" s="1"/>
  <c r="U51" i="10" s="1"/>
  <c r="S52" i="10"/>
  <c r="T52" i="10" s="1"/>
  <c r="U52" i="10" s="1"/>
  <c r="S53" i="10"/>
  <c r="S54" i="10"/>
  <c r="T54" i="10" s="1"/>
  <c r="S55" i="10"/>
  <c r="T55" i="10" s="1"/>
  <c r="U55" i="10" s="1"/>
  <c r="S56" i="10"/>
  <c r="T56" i="10" s="1"/>
  <c r="U56" i="10" s="1"/>
  <c r="S57" i="10"/>
  <c r="T57" i="10" s="1"/>
  <c r="U57" i="10" s="1"/>
  <c r="S58" i="10"/>
  <c r="T58" i="10" s="1"/>
  <c r="U58" i="10" s="1"/>
  <c r="S59" i="10"/>
  <c r="T59" i="10" s="1"/>
  <c r="S60" i="10"/>
  <c r="T60" i="10" s="1"/>
  <c r="U60" i="10" s="1"/>
  <c r="S61" i="10"/>
  <c r="T61" i="10" s="1"/>
  <c r="U61" i="10" s="1"/>
  <c r="S62" i="10"/>
  <c r="T62" i="10" s="1"/>
  <c r="S63" i="10"/>
  <c r="T63" i="10" s="1"/>
  <c r="U63" i="10" s="1"/>
  <c r="S64" i="10"/>
  <c r="T64" i="10" s="1"/>
  <c r="U64" i="10" s="1"/>
  <c r="S65" i="10"/>
  <c r="T65" i="10" s="1"/>
  <c r="U65" i="10" s="1"/>
  <c r="S66" i="10"/>
  <c r="T66" i="10" s="1"/>
  <c r="U66" i="10" s="1"/>
  <c r="S67" i="10"/>
  <c r="T67" i="10" s="1"/>
  <c r="S68" i="10"/>
  <c r="T68" i="10" s="1"/>
  <c r="U68" i="10" s="1"/>
  <c r="S69" i="10"/>
  <c r="T69" i="10" s="1"/>
  <c r="U69" i="10" s="1"/>
  <c r="S70" i="10"/>
  <c r="T70" i="10" s="1"/>
  <c r="S71" i="10"/>
  <c r="T71" i="10" s="1"/>
  <c r="U71" i="10" s="1"/>
  <c r="S72" i="10"/>
  <c r="T72" i="10" s="1"/>
  <c r="U72" i="10" s="1"/>
  <c r="S73" i="10"/>
  <c r="T73" i="10" s="1"/>
  <c r="U73" i="10" s="1"/>
  <c r="S74" i="10"/>
  <c r="T74" i="10" s="1"/>
  <c r="U74" i="10" s="1"/>
  <c r="S75" i="10"/>
  <c r="T75" i="10" s="1"/>
  <c r="S76" i="10"/>
  <c r="T76" i="10" s="1"/>
  <c r="U76" i="10" s="1"/>
  <c r="S77" i="10"/>
  <c r="T77" i="10" s="1"/>
  <c r="U77" i="10" s="1"/>
  <c r="S78" i="10"/>
  <c r="T78" i="10" s="1"/>
  <c r="S79" i="10"/>
  <c r="T79" i="10" s="1"/>
  <c r="U79" i="10" s="1"/>
  <c r="S80" i="10"/>
  <c r="T80" i="10" s="1"/>
  <c r="U80" i="10" s="1"/>
  <c r="S81" i="10"/>
  <c r="T81" i="10" s="1"/>
  <c r="U81" i="10" s="1"/>
  <c r="S82" i="10"/>
  <c r="T82" i="10" s="1"/>
  <c r="U82" i="10" s="1"/>
  <c r="S83" i="10"/>
  <c r="T83" i="10" s="1"/>
  <c r="S84" i="10"/>
  <c r="T84" i="10" s="1"/>
  <c r="U84" i="10" s="1"/>
  <c r="S85" i="10"/>
  <c r="T85" i="10" s="1"/>
  <c r="U85" i="10" s="1"/>
  <c r="S86" i="10"/>
  <c r="T86" i="10" s="1"/>
  <c r="S87" i="10"/>
  <c r="T87" i="10" s="1"/>
  <c r="U87" i="10" s="1"/>
  <c r="S88" i="10"/>
  <c r="T88" i="10" s="1"/>
  <c r="U88" i="10" s="1"/>
  <c r="S89" i="10"/>
  <c r="T89" i="10" s="1"/>
  <c r="U89" i="10" s="1"/>
  <c r="S90" i="10"/>
  <c r="T90" i="10" s="1"/>
  <c r="U90" i="10" s="1"/>
  <c r="S91" i="10"/>
  <c r="T91" i="10" s="1"/>
  <c r="U91" i="10" s="1"/>
  <c r="S92" i="10"/>
  <c r="T92" i="10" s="1"/>
  <c r="U92" i="10" s="1"/>
  <c r="S93" i="10"/>
  <c r="T93" i="10" s="1"/>
  <c r="U93" i="10" s="1"/>
  <c r="S94" i="10"/>
  <c r="T94" i="10" s="1"/>
  <c r="S95" i="10"/>
  <c r="T95" i="10" s="1"/>
  <c r="U95" i="10" s="1"/>
  <c r="S96" i="10"/>
  <c r="T96" i="10" s="1"/>
  <c r="U96" i="10" s="1"/>
  <c r="S97" i="10"/>
  <c r="T97" i="10" s="1"/>
  <c r="U97" i="10" s="1"/>
  <c r="S98" i="10"/>
  <c r="S99" i="10"/>
  <c r="T99" i="10" s="1"/>
  <c r="U99" i="10" s="1"/>
  <c r="S100" i="10"/>
  <c r="T100" i="10" s="1"/>
  <c r="U100" i="10" s="1"/>
  <c r="S101" i="10"/>
  <c r="T101" i="10" s="1"/>
  <c r="U101" i="10" s="1"/>
  <c r="S102" i="10"/>
  <c r="T102" i="10" s="1"/>
  <c r="S103" i="10"/>
  <c r="T103" i="10" s="1"/>
  <c r="U103" i="10" s="1"/>
  <c r="S104" i="10"/>
  <c r="T104" i="10" s="1"/>
  <c r="U104" i="10" s="1"/>
  <c r="S105" i="10"/>
  <c r="T105" i="10" s="1"/>
  <c r="U105" i="10" s="1"/>
  <c r="S106" i="10"/>
  <c r="T106" i="10" s="1"/>
  <c r="U106" i="10" s="1"/>
  <c r="S107" i="10"/>
  <c r="T107" i="10" s="1"/>
  <c r="U107" i="10" s="1"/>
  <c r="S108" i="10"/>
  <c r="T108" i="10" s="1"/>
  <c r="U108" i="10" s="1"/>
  <c r="S109" i="10"/>
  <c r="T109" i="10" s="1"/>
  <c r="U109" i="10" s="1"/>
  <c r="S8" i="10"/>
  <c r="T8" i="10" s="1"/>
  <c r="U8" i="10" s="1"/>
  <c r="P60" i="10"/>
  <c r="Q60" i="10" s="1"/>
  <c r="P61" i="10"/>
  <c r="Q61" i="10" s="1"/>
  <c r="P62" i="10"/>
  <c r="Q62" i="10" s="1"/>
  <c r="P63" i="10"/>
  <c r="Q63" i="10" s="1"/>
  <c r="P64" i="10"/>
  <c r="Q64" i="10" s="1"/>
  <c r="P65" i="10"/>
  <c r="Q65" i="10" s="1"/>
  <c r="P66" i="10"/>
  <c r="Q66" i="10" s="1"/>
  <c r="P67" i="10"/>
  <c r="Q67" i="10" s="1"/>
  <c r="P68" i="10"/>
  <c r="Q68" i="10" s="1"/>
  <c r="P69" i="10"/>
  <c r="Q69" i="10" s="1"/>
  <c r="P70" i="10"/>
  <c r="Q70" i="10" s="1"/>
  <c r="P71" i="10"/>
  <c r="Q71" i="10" s="1"/>
  <c r="P72" i="10"/>
  <c r="Q72" i="10" s="1"/>
  <c r="P73" i="10"/>
  <c r="Q73" i="10" s="1"/>
  <c r="P74" i="10"/>
  <c r="Q74" i="10" s="1"/>
  <c r="P75" i="10"/>
  <c r="Q75" i="10" s="1"/>
  <c r="P76" i="10"/>
  <c r="Q76" i="10" s="1"/>
  <c r="P77" i="10"/>
  <c r="Q77" i="10" s="1"/>
  <c r="P78" i="10"/>
  <c r="Q78" i="10" s="1"/>
  <c r="P79" i="10"/>
  <c r="Q79" i="10" s="1"/>
  <c r="P80" i="10"/>
  <c r="Q80" i="10" s="1"/>
  <c r="P81" i="10"/>
  <c r="Q81" i="10" s="1"/>
  <c r="P82" i="10"/>
  <c r="Q82" i="10" s="1"/>
  <c r="P83" i="10"/>
  <c r="Q83" i="10" s="1"/>
  <c r="P84" i="10"/>
  <c r="Q84" i="10" s="1"/>
  <c r="P85" i="10"/>
  <c r="Q85" i="10" s="1"/>
  <c r="P86" i="10"/>
  <c r="Q86" i="10" s="1"/>
  <c r="P87" i="10"/>
  <c r="Q87" i="10" s="1"/>
  <c r="P88" i="10"/>
  <c r="Q88" i="10" s="1"/>
  <c r="P89" i="10"/>
  <c r="Q89" i="10" s="1"/>
  <c r="P90" i="10"/>
  <c r="Q90" i="10" s="1"/>
  <c r="P91" i="10"/>
  <c r="Q91" i="10" s="1"/>
  <c r="P92" i="10"/>
  <c r="Q92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101" i="10"/>
  <c r="Q101" i="10" s="1"/>
  <c r="P102" i="10"/>
  <c r="Q102" i="10" s="1"/>
  <c r="P103" i="10"/>
  <c r="Q103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59" i="10"/>
  <c r="Q59" i="10" s="1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P15" i="10"/>
  <c r="Q15" i="10" s="1"/>
  <c r="P16" i="10"/>
  <c r="Q16" i="10" s="1"/>
  <c r="P17" i="10"/>
  <c r="Q17" i="10" s="1"/>
  <c r="P18" i="10"/>
  <c r="Q18" i="10" s="1"/>
  <c r="P19" i="10"/>
  <c r="Q19" i="10" s="1"/>
  <c r="P20" i="10"/>
  <c r="Q20" i="10" s="1"/>
  <c r="P21" i="10"/>
  <c r="Q21" i="10" s="1"/>
  <c r="P22" i="10"/>
  <c r="Q22" i="10" s="1"/>
  <c r="P23" i="10"/>
  <c r="Q23" i="10" s="1"/>
  <c r="P24" i="10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8" i="10"/>
  <c r="Q8" i="10" s="1"/>
  <c r="H8" i="10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G44" i="10"/>
  <c r="H44" i="10" s="1"/>
  <c r="G45" i="10"/>
  <c r="H45" i="10" s="1"/>
  <c r="G46" i="10"/>
  <c r="H46" i="10" s="1"/>
  <c r="G47" i="10"/>
  <c r="H47" i="10" s="1"/>
  <c r="G48" i="10"/>
  <c r="H48" i="10" s="1"/>
  <c r="G49" i="10"/>
  <c r="H49" i="10" s="1"/>
  <c r="G50" i="10"/>
  <c r="H50" i="10" s="1"/>
  <c r="G51" i="10"/>
  <c r="H51" i="10" s="1"/>
  <c r="G52" i="10"/>
  <c r="H52" i="10" s="1"/>
  <c r="G53" i="10"/>
  <c r="H53" i="10" s="1"/>
  <c r="G54" i="10"/>
  <c r="H54" i="10" s="1"/>
  <c r="G55" i="10"/>
  <c r="H55" i="10" s="1"/>
  <c r="G56" i="10"/>
  <c r="H56" i="10" s="1"/>
  <c r="G57" i="10"/>
  <c r="H57" i="10" s="1"/>
  <c r="G58" i="10"/>
  <c r="H58" i="10" s="1"/>
  <c r="G59" i="10"/>
  <c r="H59" i="10" s="1"/>
  <c r="G60" i="10"/>
  <c r="H60" i="10" s="1"/>
  <c r="G61" i="10"/>
  <c r="H61" i="10" s="1"/>
  <c r="G62" i="10"/>
  <c r="H62" i="10" s="1"/>
  <c r="G63" i="10"/>
  <c r="H63" i="10" s="1"/>
  <c r="G64" i="10"/>
  <c r="H64" i="10" s="1"/>
  <c r="G65" i="10"/>
  <c r="H65" i="10" s="1"/>
  <c r="G66" i="10"/>
  <c r="H66" i="10" s="1"/>
  <c r="G67" i="10"/>
  <c r="H67" i="10" s="1"/>
  <c r="G68" i="10"/>
  <c r="H68" i="10" s="1"/>
  <c r="G69" i="10"/>
  <c r="H69" i="10" s="1"/>
  <c r="G70" i="10"/>
  <c r="H70" i="10" s="1"/>
  <c r="G71" i="10"/>
  <c r="H71" i="10" s="1"/>
  <c r="G72" i="10"/>
  <c r="H72" i="10" s="1"/>
  <c r="G73" i="10"/>
  <c r="H73" i="10" s="1"/>
  <c r="G74" i="10"/>
  <c r="H74" i="10" s="1"/>
  <c r="G75" i="10"/>
  <c r="H75" i="10" s="1"/>
  <c r="G76" i="10"/>
  <c r="H76" i="10" s="1"/>
  <c r="G77" i="10"/>
  <c r="H77" i="10" s="1"/>
  <c r="G78" i="10"/>
  <c r="H78" i="10" s="1"/>
  <c r="G79" i="10"/>
  <c r="H79" i="10" s="1"/>
  <c r="G80" i="10"/>
  <c r="H80" i="10" s="1"/>
  <c r="G81" i="10"/>
  <c r="H81" i="10" s="1"/>
  <c r="G82" i="10"/>
  <c r="H82" i="10" s="1"/>
  <c r="G83" i="10"/>
  <c r="H83" i="10" s="1"/>
  <c r="G84" i="10"/>
  <c r="H84" i="10" s="1"/>
  <c r="G85" i="10"/>
  <c r="H85" i="10" s="1"/>
  <c r="G86" i="10"/>
  <c r="H86" i="10" s="1"/>
  <c r="G87" i="10"/>
  <c r="H87" i="10" s="1"/>
  <c r="G88" i="10"/>
  <c r="H88" i="10" s="1"/>
  <c r="G89" i="10"/>
  <c r="H89" i="10" s="1"/>
  <c r="G90" i="10"/>
  <c r="H90" i="10" s="1"/>
  <c r="G91" i="10"/>
  <c r="H91" i="10" s="1"/>
  <c r="G92" i="10"/>
  <c r="H92" i="10" s="1"/>
  <c r="G93" i="10"/>
  <c r="H93" i="10" s="1"/>
  <c r="G94" i="10"/>
  <c r="H94" i="10" s="1"/>
  <c r="G95" i="10"/>
  <c r="H95" i="10" s="1"/>
  <c r="G96" i="10"/>
  <c r="H96" i="10" s="1"/>
  <c r="G97" i="10"/>
  <c r="H97" i="10" s="1"/>
  <c r="G98" i="10"/>
  <c r="H98" i="10" s="1"/>
  <c r="G99" i="10"/>
  <c r="H99" i="10" s="1"/>
  <c r="G100" i="10"/>
  <c r="H100" i="10" s="1"/>
  <c r="G101" i="10"/>
  <c r="H101" i="10" s="1"/>
  <c r="G102" i="10"/>
  <c r="H102" i="10" s="1"/>
  <c r="G103" i="10"/>
  <c r="H103" i="10" s="1"/>
  <c r="G104" i="10"/>
  <c r="H104" i="10" s="1"/>
  <c r="G105" i="10"/>
  <c r="H105" i="10" s="1"/>
  <c r="G106" i="10"/>
  <c r="H106" i="10" s="1"/>
  <c r="G107" i="10"/>
  <c r="H107" i="10" s="1"/>
  <c r="G108" i="10"/>
  <c r="H108" i="10" s="1"/>
  <c r="G109" i="10"/>
  <c r="H109" i="10" s="1"/>
  <c r="D8" i="10"/>
  <c r="E8" i="10" s="1"/>
  <c r="W4" i="10"/>
  <c r="W65" i="10" s="1"/>
  <c r="V4" i="10"/>
  <c r="W11" i="10" s="1"/>
  <c r="L4" i="10"/>
  <c r="M14" i="10" s="1"/>
  <c r="N14" i="10" s="1"/>
  <c r="M4" i="10"/>
  <c r="M60" i="10" s="1"/>
  <c r="N60" i="10" s="1"/>
  <c r="I4" i="10"/>
  <c r="J9" i="10" s="1"/>
  <c r="K9" i="10" s="1"/>
  <c r="D9" i="10"/>
  <c r="E9" i="10" s="1"/>
  <c r="D10" i="10"/>
  <c r="E10" i="10" s="1"/>
  <c r="D11" i="10"/>
  <c r="E11" i="10" s="1"/>
  <c r="D12" i="10"/>
  <c r="E12" i="10" s="1"/>
  <c r="D13" i="10"/>
  <c r="E13" i="10" s="1"/>
  <c r="D14" i="10"/>
  <c r="E14" i="10" s="1"/>
  <c r="D15" i="10"/>
  <c r="E15" i="10" s="1"/>
  <c r="D16" i="10"/>
  <c r="E16" i="10" s="1"/>
  <c r="D17" i="10"/>
  <c r="E17" i="10" s="1"/>
  <c r="D18" i="10"/>
  <c r="E18" i="10" s="1"/>
  <c r="D19" i="10"/>
  <c r="E19" i="10" s="1"/>
  <c r="D20" i="10"/>
  <c r="E20" i="10" s="1"/>
  <c r="D21" i="10"/>
  <c r="E21" i="10" s="1"/>
  <c r="D22" i="10"/>
  <c r="E22" i="10" s="1"/>
  <c r="D23" i="10"/>
  <c r="E23" i="10" s="1"/>
  <c r="D24" i="10"/>
  <c r="E24" i="10" s="1"/>
  <c r="D25" i="10"/>
  <c r="E25" i="10" s="1"/>
  <c r="D26" i="10"/>
  <c r="E26" i="10" s="1"/>
  <c r="D27" i="10"/>
  <c r="E27" i="10" s="1"/>
  <c r="D28" i="10"/>
  <c r="E28" i="10" s="1"/>
  <c r="D29" i="10"/>
  <c r="E29" i="10" s="1"/>
  <c r="D30" i="10"/>
  <c r="E30" i="10" s="1"/>
  <c r="D31" i="10"/>
  <c r="E31" i="10" s="1"/>
  <c r="D32" i="10"/>
  <c r="E32" i="10" s="1"/>
  <c r="D33" i="10"/>
  <c r="E33" i="10" s="1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E75" i="10" s="1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E82" i="10" s="1"/>
  <c r="D83" i="10"/>
  <c r="E83" i="10" s="1"/>
  <c r="D84" i="10"/>
  <c r="E84" i="10" s="1"/>
  <c r="D85" i="10"/>
  <c r="E85" i="10" s="1"/>
  <c r="D86" i="10"/>
  <c r="E86" i="10" s="1"/>
  <c r="D87" i="10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E98" i="10" s="1"/>
  <c r="D99" i="10"/>
  <c r="E99" i="10" s="1"/>
  <c r="D100" i="10"/>
  <c r="E100" i="10" s="1"/>
  <c r="D101" i="10"/>
  <c r="E101" i="10" s="1"/>
  <c r="D102" i="10"/>
  <c r="E102" i="10" s="1"/>
  <c r="D103" i="10"/>
  <c r="E103" i="10" s="1"/>
  <c r="D104" i="10"/>
  <c r="E104" i="10" s="1"/>
  <c r="D105" i="10"/>
  <c r="E105" i="10" s="1"/>
  <c r="D106" i="10"/>
  <c r="E106" i="10" s="1"/>
  <c r="D107" i="10"/>
  <c r="E107" i="10" s="1"/>
  <c r="D108" i="10"/>
  <c r="E108" i="10" s="1"/>
  <c r="D109" i="10"/>
  <c r="E109" i="10" s="1"/>
  <c r="AB3" i="1"/>
  <c r="AA3" i="1"/>
  <c r="AG91" i="8"/>
  <c r="AG87" i="8"/>
  <c r="AG81" i="8"/>
  <c r="AG24" i="8"/>
  <c r="AG6" i="8"/>
  <c r="AE93" i="8"/>
  <c r="AE83" i="8"/>
  <c r="AE85" i="8"/>
  <c r="AE87" i="8"/>
  <c r="AE89" i="8"/>
  <c r="AE91" i="8"/>
  <c r="AE95" i="8"/>
  <c r="AE97" i="8"/>
  <c r="AE81" i="8"/>
  <c r="AE78" i="8"/>
  <c r="AE74" i="8"/>
  <c r="AE56" i="8"/>
  <c r="AE40" i="8"/>
  <c r="AE36" i="8"/>
  <c r="AU103" i="8"/>
  <c r="AU107" i="8"/>
  <c r="AU99" i="8"/>
  <c r="AS103" i="8"/>
  <c r="AS107" i="8"/>
  <c r="AS99" i="8"/>
  <c r="AE103" i="8"/>
  <c r="AE107" i="8"/>
  <c r="AE99" i="8"/>
  <c r="AB102" i="1"/>
  <c r="AB101" i="1"/>
  <c r="AB100" i="1"/>
  <c r="AB99" i="1"/>
  <c r="AB98" i="1"/>
  <c r="AB97" i="1"/>
  <c r="AB96" i="1"/>
  <c r="AB95" i="1"/>
  <c r="AB94" i="1"/>
  <c r="AB93" i="1"/>
  <c r="AB92" i="1"/>
  <c r="AB90" i="1"/>
  <c r="AB89" i="1"/>
  <c r="AB86" i="1"/>
  <c r="AB84" i="1"/>
  <c r="AB79" i="1"/>
  <c r="AB78" i="1"/>
  <c r="AB76" i="1"/>
  <c r="AB75" i="1"/>
  <c r="AB73" i="1"/>
  <c r="AB72" i="1"/>
  <c r="AB71" i="1"/>
  <c r="AB70" i="1"/>
  <c r="AB69" i="1"/>
  <c r="AB68" i="1"/>
  <c r="AB67" i="1"/>
  <c r="AB66" i="1"/>
  <c r="AB65" i="1"/>
  <c r="AB64" i="1"/>
  <c r="AB63" i="1"/>
  <c r="AB59" i="1"/>
  <c r="AB51" i="1"/>
  <c r="AB48" i="1"/>
  <c r="AB47" i="1"/>
  <c r="AB45" i="1"/>
  <c r="AB44" i="1"/>
  <c r="AB43" i="1"/>
  <c r="AB33" i="1"/>
  <c r="AB31" i="1"/>
  <c r="AB29" i="1"/>
  <c r="AB12" i="1"/>
  <c r="AB8" i="1"/>
  <c r="AB7" i="1"/>
  <c r="AB108" i="1"/>
  <c r="AA108" i="1"/>
  <c r="AA106" i="1"/>
  <c r="AA104" i="1"/>
  <c r="AA103" i="1"/>
  <c r="AA102" i="1"/>
  <c r="AA100" i="1"/>
  <c r="AA99" i="1"/>
  <c r="AA98" i="1"/>
  <c r="AA96" i="1"/>
  <c r="AA95" i="1"/>
  <c r="AA94" i="1"/>
  <c r="AA93" i="1"/>
  <c r="AA90" i="1"/>
  <c r="AA89" i="1"/>
  <c r="AA87" i="1"/>
  <c r="AA86" i="1"/>
  <c r="AA85" i="1"/>
  <c r="AA83" i="1"/>
  <c r="AA79" i="1"/>
  <c r="AA78" i="1"/>
  <c r="AA77" i="1"/>
  <c r="AA76" i="1"/>
  <c r="AA75" i="1"/>
  <c r="AA74" i="1"/>
  <c r="AA73" i="1"/>
  <c r="AA72" i="1"/>
  <c r="AA71" i="1"/>
  <c r="AA68" i="1"/>
  <c r="AA67" i="1"/>
  <c r="AA65" i="1"/>
  <c r="AA61" i="1"/>
  <c r="AA60" i="1"/>
  <c r="AA59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7" i="1"/>
  <c r="AA35" i="1"/>
  <c r="AA33" i="1"/>
  <c r="AA31" i="1"/>
  <c r="AA27" i="1"/>
  <c r="AA23" i="1"/>
  <c r="AA21" i="1"/>
  <c r="AA19" i="1"/>
  <c r="AA17" i="1"/>
  <c r="AA15" i="1"/>
  <c r="AA13" i="1"/>
  <c r="AA11" i="1"/>
  <c r="AA9" i="1"/>
  <c r="AA7" i="1"/>
  <c r="AU78" i="8"/>
  <c r="F98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20" i="9"/>
  <c r="AK97" i="8"/>
  <c r="AK89" i="8"/>
  <c r="AK81" i="8"/>
  <c r="AK72" i="8"/>
  <c r="AK64" i="8"/>
  <c r="AK56" i="8"/>
  <c r="AK48" i="8"/>
  <c r="AK40" i="8"/>
  <c r="AK32" i="8"/>
  <c r="AK24" i="8"/>
  <c r="AK16" i="8"/>
  <c r="AK8" i="8"/>
  <c r="AK107" i="8"/>
  <c r="AK103" i="8"/>
  <c r="AK99" i="8"/>
  <c r="AK95" i="8"/>
  <c r="AK93" i="8"/>
  <c r="AK91" i="8"/>
  <c r="AK87" i="8"/>
  <c r="AK85" i="8"/>
  <c r="AK83" i="8"/>
  <c r="AK78" i="8"/>
  <c r="AK76" i="8"/>
  <c r="AK74" i="8"/>
  <c r="AK70" i="8"/>
  <c r="AK68" i="8"/>
  <c r="AK66" i="8"/>
  <c r="AK62" i="8"/>
  <c r="AK60" i="8"/>
  <c r="AK58" i="8"/>
  <c r="AK54" i="8"/>
  <c r="AK52" i="8"/>
  <c r="AK50" i="8"/>
  <c r="AK46" i="8"/>
  <c r="AK44" i="8"/>
  <c r="AK42" i="8"/>
  <c r="AK38" i="8"/>
  <c r="AK36" i="8"/>
  <c r="AK34" i="8"/>
  <c r="AK30" i="8"/>
  <c r="AK28" i="8"/>
  <c r="AK26" i="8"/>
  <c r="AK22" i="8"/>
  <c r="AK20" i="8"/>
  <c r="AK18" i="8"/>
  <c r="AK14" i="8"/>
  <c r="AK12" i="8"/>
  <c r="AK10" i="8"/>
  <c r="AK6" i="8"/>
  <c r="AK4" i="8"/>
  <c r="AK2" i="8"/>
  <c r="AI107" i="8"/>
  <c r="AI103" i="8"/>
  <c r="AI99" i="8"/>
  <c r="AI97" i="8"/>
  <c r="AI95" i="8"/>
  <c r="AI93" i="8"/>
  <c r="AI91" i="8"/>
  <c r="AI89" i="8"/>
  <c r="AI87" i="8"/>
  <c r="AI85" i="8"/>
  <c r="AI83" i="8"/>
  <c r="AI81" i="8"/>
  <c r="AI78" i="8"/>
  <c r="AI76" i="8"/>
  <c r="AI74" i="8"/>
  <c r="AI72" i="8"/>
  <c r="AI70" i="8"/>
  <c r="AI68" i="8"/>
  <c r="AI66" i="8"/>
  <c r="AI64" i="8"/>
  <c r="AI62" i="8"/>
  <c r="AI60" i="8"/>
  <c r="AI58" i="8"/>
  <c r="AI56" i="8"/>
  <c r="AI54" i="8"/>
  <c r="AI52" i="8"/>
  <c r="AI50" i="8"/>
  <c r="AI48" i="8"/>
  <c r="AI46" i="8"/>
  <c r="AI44" i="8"/>
  <c r="AI42" i="8"/>
  <c r="AI40" i="8"/>
  <c r="AI38" i="8"/>
  <c r="AI36" i="8"/>
  <c r="AI34" i="8"/>
  <c r="AI32" i="8"/>
  <c r="AI30" i="8"/>
  <c r="AI28" i="8"/>
  <c r="AI26" i="8"/>
  <c r="AI24" i="8"/>
  <c r="AI22" i="8"/>
  <c r="AI20" i="8"/>
  <c r="AI18" i="8"/>
  <c r="AI16" i="8"/>
  <c r="AI14" i="8"/>
  <c r="AI12" i="8"/>
  <c r="AI10" i="8"/>
  <c r="AI8" i="8"/>
  <c r="AI6" i="8"/>
  <c r="AI4" i="8"/>
  <c r="AI2" i="8"/>
  <c r="AU97" i="8"/>
  <c r="AU95" i="8"/>
  <c r="AU93" i="8"/>
  <c r="AU91" i="8"/>
  <c r="AU89" i="8"/>
  <c r="AU87" i="8"/>
  <c r="AU85" i="8"/>
  <c r="AU83" i="8"/>
  <c r="AU81" i="8"/>
  <c r="AU76" i="8"/>
  <c r="AU74" i="8"/>
  <c r="AU72" i="8"/>
  <c r="AU70" i="8"/>
  <c r="AU68" i="8"/>
  <c r="AU66" i="8"/>
  <c r="AU64" i="8"/>
  <c r="AU62" i="8"/>
  <c r="AU60" i="8"/>
  <c r="AU58" i="8"/>
  <c r="AU56" i="8"/>
  <c r="AU54" i="8"/>
  <c r="AU52" i="8"/>
  <c r="AU50" i="8"/>
  <c r="AU48" i="8"/>
  <c r="AU46" i="8"/>
  <c r="AU44" i="8"/>
  <c r="AU42" i="8"/>
  <c r="AU40" i="8"/>
  <c r="AU38" i="8"/>
  <c r="AU36" i="8"/>
  <c r="AU34" i="8"/>
  <c r="AU32" i="8"/>
  <c r="AU30" i="8"/>
  <c r="AU28" i="8"/>
  <c r="AU26" i="8"/>
  <c r="AU24" i="8"/>
  <c r="AU22" i="8"/>
  <c r="AU20" i="8"/>
  <c r="AU18" i="8"/>
  <c r="AU16" i="8"/>
  <c r="AU14" i="8"/>
  <c r="AU12" i="8"/>
  <c r="AU10" i="8"/>
  <c r="AU8" i="8"/>
  <c r="AU6" i="8"/>
  <c r="AU4" i="8"/>
  <c r="AU2" i="8"/>
  <c r="AS97" i="8"/>
  <c r="AS95" i="8"/>
  <c r="AS93" i="8"/>
  <c r="AS91" i="8"/>
  <c r="AS89" i="8"/>
  <c r="AS87" i="8"/>
  <c r="AS85" i="8"/>
  <c r="AS83" i="8"/>
  <c r="AS81" i="8"/>
  <c r="AS78" i="8"/>
  <c r="AS76" i="8"/>
  <c r="AS74" i="8"/>
  <c r="AS72" i="8"/>
  <c r="AS70" i="8"/>
  <c r="AS68" i="8"/>
  <c r="AS66" i="8"/>
  <c r="AS64" i="8"/>
  <c r="AS62" i="8"/>
  <c r="AS60" i="8"/>
  <c r="AS58" i="8"/>
  <c r="AS56" i="8"/>
  <c r="AS54" i="8"/>
  <c r="AS52" i="8"/>
  <c r="AS50" i="8"/>
  <c r="AS48" i="8"/>
  <c r="AS46" i="8"/>
  <c r="AS44" i="8"/>
  <c r="AS42" i="8"/>
  <c r="AS40" i="8"/>
  <c r="AS38" i="8"/>
  <c r="AS36" i="8"/>
  <c r="AS34" i="8"/>
  <c r="AS32" i="8"/>
  <c r="AS30" i="8"/>
  <c r="AS28" i="8"/>
  <c r="AS26" i="8"/>
  <c r="AS24" i="8"/>
  <c r="AS22" i="8"/>
  <c r="AS20" i="8"/>
  <c r="AS18" i="8"/>
  <c r="AS16" i="8"/>
  <c r="AS14" i="8"/>
  <c r="AS12" i="8"/>
  <c r="AS10" i="8"/>
  <c r="AS8" i="8"/>
  <c r="AS6" i="8"/>
  <c r="AS4" i="8"/>
  <c r="AS2" i="8"/>
  <c r="AP107" i="8"/>
  <c r="AQ107" i="8" s="1"/>
  <c r="AP103" i="8"/>
  <c r="AQ103" i="8" s="1"/>
  <c r="AP99" i="8"/>
  <c r="AQ99" i="8" s="1"/>
  <c r="AP97" i="8"/>
  <c r="AQ97" i="8" s="1"/>
  <c r="AP95" i="8"/>
  <c r="AQ95" i="8" s="1"/>
  <c r="AP93" i="8"/>
  <c r="AQ93" i="8" s="1"/>
  <c r="AP91" i="8"/>
  <c r="AQ91" i="8" s="1"/>
  <c r="AP89" i="8"/>
  <c r="AQ89" i="8" s="1"/>
  <c r="AP87" i="8"/>
  <c r="AQ87" i="8" s="1"/>
  <c r="AP85" i="8"/>
  <c r="AQ85" i="8" s="1"/>
  <c r="AP83" i="8"/>
  <c r="AQ83" i="8" s="1"/>
  <c r="AP81" i="8"/>
  <c r="AQ81" i="8" s="1"/>
  <c r="AP78" i="8"/>
  <c r="AQ78" i="8" s="1"/>
  <c r="AP76" i="8"/>
  <c r="AQ76" i="8" s="1"/>
  <c r="AP74" i="8"/>
  <c r="AQ74" i="8" s="1"/>
  <c r="AP72" i="8"/>
  <c r="AQ72" i="8" s="1"/>
  <c r="AP70" i="8"/>
  <c r="AQ70" i="8" s="1"/>
  <c r="AP68" i="8"/>
  <c r="AQ68" i="8" s="1"/>
  <c r="AP66" i="8"/>
  <c r="AQ66" i="8" s="1"/>
  <c r="AP64" i="8"/>
  <c r="AQ64" i="8" s="1"/>
  <c r="AP62" i="8"/>
  <c r="AQ62" i="8" s="1"/>
  <c r="AP60" i="8"/>
  <c r="AQ60" i="8" s="1"/>
  <c r="AP58" i="8"/>
  <c r="AQ58" i="8" s="1"/>
  <c r="AP56" i="8"/>
  <c r="AQ56" i="8" s="1"/>
  <c r="AP54" i="8"/>
  <c r="AQ54" i="8" s="1"/>
  <c r="AP52" i="8"/>
  <c r="AQ52" i="8" s="1"/>
  <c r="AP50" i="8"/>
  <c r="AQ50" i="8" s="1"/>
  <c r="AP48" i="8"/>
  <c r="AQ48" i="8" s="1"/>
  <c r="AP46" i="8"/>
  <c r="AQ46" i="8" s="1"/>
  <c r="AP44" i="8"/>
  <c r="AQ44" i="8" s="1"/>
  <c r="AP42" i="8"/>
  <c r="AQ42" i="8" s="1"/>
  <c r="AP40" i="8"/>
  <c r="AQ40" i="8" s="1"/>
  <c r="AP38" i="8"/>
  <c r="AQ38" i="8" s="1"/>
  <c r="AP36" i="8"/>
  <c r="AQ36" i="8" s="1"/>
  <c r="AP34" i="8"/>
  <c r="AQ34" i="8" s="1"/>
  <c r="AP32" i="8"/>
  <c r="AQ32" i="8" s="1"/>
  <c r="AP30" i="8"/>
  <c r="AQ30" i="8" s="1"/>
  <c r="AP28" i="8"/>
  <c r="AQ28" i="8" s="1"/>
  <c r="AP26" i="8"/>
  <c r="AQ26" i="8" s="1"/>
  <c r="AP24" i="8"/>
  <c r="AQ24" i="8" s="1"/>
  <c r="AP22" i="8"/>
  <c r="AQ22" i="8" s="1"/>
  <c r="AP20" i="8"/>
  <c r="AQ20" i="8" s="1"/>
  <c r="AP18" i="8"/>
  <c r="AQ18" i="8" s="1"/>
  <c r="AP16" i="8"/>
  <c r="AQ16" i="8" s="1"/>
  <c r="AP14" i="8"/>
  <c r="AQ14" i="8" s="1"/>
  <c r="AP12" i="8"/>
  <c r="AQ12" i="8" s="1"/>
  <c r="AP10" i="8"/>
  <c r="AQ10" i="8" s="1"/>
  <c r="AP8" i="8"/>
  <c r="AQ8" i="8" s="1"/>
  <c r="AP6" i="8"/>
  <c r="AQ6" i="8" s="1"/>
  <c r="AP4" i="8"/>
  <c r="AQ4" i="8" s="1"/>
  <c r="AP2" i="8"/>
  <c r="AQ2" i="8" s="1"/>
  <c r="AM107" i="8"/>
  <c r="AN107" i="8" s="1"/>
  <c r="AM103" i="8"/>
  <c r="AN103" i="8" s="1"/>
  <c r="AM99" i="8"/>
  <c r="AN99" i="8" s="1"/>
  <c r="AM97" i="8"/>
  <c r="AN97" i="8" s="1"/>
  <c r="AM95" i="8"/>
  <c r="AN95" i="8" s="1"/>
  <c r="AM93" i="8"/>
  <c r="AN93" i="8" s="1"/>
  <c r="AM91" i="8"/>
  <c r="AN91" i="8" s="1"/>
  <c r="AM89" i="8"/>
  <c r="AN89" i="8" s="1"/>
  <c r="AM87" i="8"/>
  <c r="AN87" i="8" s="1"/>
  <c r="AM85" i="8"/>
  <c r="AN85" i="8" s="1"/>
  <c r="AM83" i="8"/>
  <c r="AN83" i="8" s="1"/>
  <c r="AM81" i="8"/>
  <c r="AN81" i="8" s="1"/>
  <c r="AM78" i="8"/>
  <c r="AN78" i="8" s="1"/>
  <c r="AM76" i="8"/>
  <c r="AN76" i="8" s="1"/>
  <c r="AM74" i="8"/>
  <c r="AN74" i="8" s="1"/>
  <c r="AM72" i="8"/>
  <c r="AN72" i="8" s="1"/>
  <c r="AM70" i="8"/>
  <c r="AN70" i="8" s="1"/>
  <c r="AM68" i="8"/>
  <c r="AN68" i="8" s="1"/>
  <c r="AM66" i="8"/>
  <c r="AN66" i="8" s="1"/>
  <c r="AM64" i="8"/>
  <c r="AN64" i="8" s="1"/>
  <c r="AM62" i="8"/>
  <c r="AN62" i="8" s="1"/>
  <c r="AM60" i="8"/>
  <c r="AN60" i="8" s="1"/>
  <c r="AM58" i="8"/>
  <c r="AN58" i="8" s="1"/>
  <c r="AM56" i="8"/>
  <c r="AN56" i="8" s="1"/>
  <c r="AM54" i="8"/>
  <c r="AN54" i="8" s="1"/>
  <c r="AM52" i="8"/>
  <c r="AN52" i="8" s="1"/>
  <c r="AM50" i="8"/>
  <c r="AN50" i="8" s="1"/>
  <c r="AM48" i="8"/>
  <c r="AN48" i="8" s="1"/>
  <c r="AM46" i="8"/>
  <c r="AN46" i="8" s="1"/>
  <c r="AM44" i="8"/>
  <c r="AN44" i="8" s="1"/>
  <c r="AM42" i="8"/>
  <c r="AN42" i="8" s="1"/>
  <c r="AM40" i="8"/>
  <c r="AN40" i="8" s="1"/>
  <c r="AM38" i="8"/>
  <c r="AN38" i="8" s="1"/>
  <c r="AM36" i="8"/>
  <c r="AN36" i="8" s="1"/>
  <c r="AM34" i="8"/>
  <c r="AN34" i="8" s="1"/>
  <c r="AM32" i="8"/>
  <c r="AN32" i="8" s="1"/>
  <c r="AM30" i="8"/>
  <c r="AN30" i="8" s="1"/>
  <c r="AM28" i="8"/>
  <c r="AN28" i="8" s="1"/>
  <c r="AM26" i="8"/>
  <c r="AN26" i="8" s="1"/>
  <c r="AM24" i="8"/>
  <c r="AN24" i="8" s="1"/>
  <c r="AM22" i="8"/>
  <c r="AN22" i="8" s="1"/>
  <c r="AM20" i="8"/>
  <c r="AN20" i="8" s="1"/>
  <c r="AM18" i="8"/>
  <c r="AN18" i="8" s="1"/>
  <c r="AM16" i="8"/>
  <c r="AN16" i="8" s="1"/>
  <c r="AM14" i="8"/>
  <c r="AN14" i="8" s="1"/>
  <c r="AM12" i="8"/>
  <c r="AN12" i="8" s="1"/>
  <c r="AM10" i="8"/>
  <c r="AN10" i="8" s="1"/>
  <c r="AM8" i="8"/>
  <c r="AN8" i="8" s="1"/>
  <c r="AM6" i="8"/>
  <c r="AN6" i="8" s="1"/>
  <c r="AM4" i="8"/>
  <c r="AN4" i="8" s="1"/>
  <c r="AM2" i="8"/>
  <c r="AN2" i="8" s="1"/>
  <c r="AG107" i="8"/>
  <c r="AG103" i="8"/>
  <c r="AG99" i="8"/>
  <c r="AG97" i="8"/>
  <c r="AG95" i="8"/>
  <c r="AG93" i="8"/>
  <c r="AG89" i="8"/>
  <c r="AG85" i="8"/>
  <c r="AG83" i="8"/>
  <c r="AG78" i="8"/>
  <c r="AG76" i="8"/>
  <c r="AG74" i="8"/>
  <c r="AG72" i="8"/>
  <c r="AG70" i="8"/>
  <c r="AG68" i="8"/>
  <c r="AG66" i="8"/>
  <c r="AG64" i="8"/>
  <c r="AG62" i="8"/>
  <c r="AG60" i="8"/>
  <c r="AG58" i="8"/>
  <c r="AG56" i="8"/>
  <c r="AG54" i="8"/>
  <c r="AG52" i="8"/>
  <c r="AG50" i="8"/>
  <c r="AG48" i="8"/>
  <c r="AG46" i="8"/>
  <c r="AG44" i="8"/>
  <c r="AG42" i="8"/>
  <c r="AG40" i="8"/>
  <c r="AG38" i="8"/>
  <c r="AG36" i="8"/>
  <c r="AG34" i="8"/>
  <c r="AG32" i="8"/>
  <c r="AG30" i="8"/>
  <c r="AG28" i="8"/>
  <c r="AG26" i="8"/>
  <c r="AG22" i="8"/>
  <c r="AG20" i="8"/>
  <c r="AG18" i="8"/>
  <c r="AG16" i="8"/>
  <c r="AG14" i="8"/>
  <c r="AG12" i="8"/>
  <c r="AG10" i="8"/>
  <c r="AG8" i="8"/>
  <c r="AG4" i="8"/>
  <c r="AG2" i="8"/>
  <c r="AE72" i="8"/>
  <c r="AE70" i="8"/>
  <c r="AE68" i="8"/>
  <c r="AE66" i="8"/>
  <c r="AE64" i="8"/>
  <c r="AE62" i="8"/>
  <c r="AE60" i="8"/>
  <c r="AE58" i="8"/>
  <c r="AE54" i="8"/>
  <c r="AE52" i="8"/>
  <c r="AE50" i="8"/>
  <c r="AE48" i="8"/>
  <c r="AE46" i="8"/>
  <c r="AE44" i="8"/>
  <c r="AE42" i="8"/>
  <c r="AE38" i="8"/>
  <c r="AE34" i="8"/>
  <c r="AE32" i="8"/>
  <c r="AE30" i="8"/>
  <c r="AE28" i="8"/>
  <c r="AE26" i="8"/>
  <c r="AE24" i="8"/>
  <c r="AE22" i="8"/>
  <c r="AE20" i="8"/>
  <c r="AE18" i="8"/>
  <c r="AE16" i="8"/>
  <c r="AE14" i="8"/>
  <c r="AE12" i="8"/>
  <c r="AE10" i="8"/>
  <c r="AE8" i="8"/>
  <c r="AE6" i="8"/>
  <c r="AE4" i="8"/>
  <c r="AE2" i="8"/>
  <c r="AB107" i="8"/>
  <c r="AC107" i="8" s="1"/>
  <c r="AB103" i="8"/>
  <c r="AB99" i="8"/>
  <c r="AB97" i="8"/>
  <c r="AC97" i="8" s="1"/>
  <c r="AB95" i="8"/>
  <c r="AB93" i="8"/>
  <c r="AB91" i="8"/>
  <c r="AB89" i="8"/>
  <c r="AB87" i="8"/>
  <c r="AC87" i="8" s="1"/>
  <c r="AB85" i="8"/>
  <c r="AB83" i="8"/>
  <c r="AB81" i="8"/>
  <c r="AC81" i="8" s="1"/>
  <c r="AB78" i="8"/>
  <c r="AB76" i="8"/>
  <c r="AB74" i="8"/>
  <c r="AB72" i="8"/>
  <c r="AB70" i="8"/>
  <c r="AC70" i="8" s="1"/>
  <c r="AB68" i="8"/>
  <c r="AB66" i="8"/>
  <c r="AB64" i="8"/>
  <c r="AC64" i="8" s="1"/>
  <c r="AB62" i="8"/>
  <c r="AB60" i="8"/>
  <c r="AB58" i="8"/>
  <c r="AB56" i="8"/>
  <c r="AB54" i="8"/>
  <c r="AC54" i="8" s="1"/>
  <c r="AB52" i="8"/>
  <c r="AB50" i="8"/>
  <c r="AB48" i="8"/>
  <c r="AC48" i="8" s="1"/>
  <c r="AB46" i="8"/>
  <c r="AB44" i="8"/>
  <c r="AB42" i="8"/>
  <c r="AB40" i="8"/>
  <c r="AB38" i="8"/>
  <c r="AC38" i="8" s="1"/>
  <c r="AB36" i="8"/>
  <c r="AB34" i="8"/>
  <c r="AB32" i="8"/>
  <c r="AC32" i="8" s="1"/>
  <c r="AB30" i="8"/>
  <c r="AB28" i="8"/>
  <c r="AB26" i="8"/>
  <c r="AB24" i="8"/>
  <c r="AB22" i="8"/>
  <c r="AC22" i="8" s="1"/>
  <c r="AB20" i="8"/>
  <c r="AB18" i="8"/>
  <c r="AB16" i="8"/>
  <c r="AC16" i="8" s="1"/>
  <c r="AB14" i="8"/>
  <c r="AB12" i="8"/>
  <c r="AB10" i="8"/>
  <c r="AB8" i="8"/>
  <c r="AB6" i="8"/>
  <c r="AC6" i="8" s="1"/>
  <c r="AB4" i="8"/>
  <c r="AB2" i="8"/>
  <c r="Y107" i="8"/>
  <c r="Z107" i="8" s="1"/>
  <c r="Y103" i="8"/>
  <c r="Y99" i="8"/>
  <c r="Y97" i="8"/>
  <c r="Y95" i="8"/>
  <c r="Y93" i="8"/>
  <c r="Y91" i="8"/>
  <c r="Y89" i="8"/>
  <c r="Y87" i="8"/>
  <c r="Z87" i="8" s="1"/>
  <c r="Y85" i="8"/>
  <c r="Y83" i="8"/>
  <c r="Y81" i="8"/>
  <c r="Y78" i="8"/>
  <c r="Y76" i="8"/>
  <c r="Y74" i="8"/>
  <c r="Y72" i="8"/>
  <c r="Y70" i="8"/>
  <c r="Z70" i="8" s="1"/>
  <c r="Y68" i="8"/>
  <c r="Y66" i="8"/>
  <c r="Y64" i="8"/>
  <c r="Y62" i="8"/>
  <c r="Y60" i="8"/>
  <c r="Y58" i="8"/>
  <c r="Y56" i="8"/>
  <c r="Y54" i="8"/>
  <c r="Z54" i="8" s="1"/>
  <c r="Y52" i="8"/>
  <c r="Y50" i="8"/>
  <c r="Y48" i="8"/>
  <c r="Y46" i="8"/>
  <c r="Y44" i="8"/>
  <c r="Y42" i="8"/>
  <c r="Y40" i="8"/>
  <c r="Y38" i="8"/>
  <c r="Z38" i="8" s="1"/>
  <c r="Y36" i="8"/>
  <c r="Y34" i="8"/>
  <c r="Y32" i="8"/>
  <c r="Y30" i="8"/>
  <c r="Y28" i="8"/>
  <c r="Y26" i="8"/>
  <c r="Y24" i="8"/>
  <c r="Y22" i="8"/>
  <c r="Z22" i="8" s="1"/>
  <c r="Y20" i="8"/>
  <c r="Y18" i="8"/>
  <c r="Y16" i="8"/>
  <c r="Y14" i="8"/>
  <c r="Y12" i="8"/>
  <c r="Y10" i="8"/>
  <c r="Y8" i="8"/>
  <c r="Y6" i="8"/>
  <c r="Z6" i="8" s="1"/>
  <c r="Y4" i="8"/>
  <c r="Y2" i="8"/>
  <c r="W107" i="8"/>
  <c r="W103" i="8"/>
  <c r="W99" i="8"/>
  <c r="W97" i="8"/>
  <c r="W95" i="8"/>
  <c r="W93" i="8"/>
  <c r="W91" i="8"/>
  <c r="W89" i="8"/>
  <c r="W87" i="8"/>
  <c r="W85" i="8"/>
  <c r="W83" i="8"/>
  <c r="W81" i="8"/>
  <c r="W78" i="8"/>
  <c r="W76" i="8"/>
  <c r="W74" i="8"/>
  <c r="W72" i="8"/>
  <c r="W70" i="8"/>
  <c r="W68" i="8"/>
  <c r="W66" i="8"/>
  <c r="W64" i="8"/>
  <c r="W62" i="8"/>
  <c r="W60" i="8"/>
  <c r="W58" i="8"/>
  <c r="W56" i="8"/>
  <c r="W54" i="8"/>
  <c r="W52" i="8"/>
  <c r="W50" i="8"/>
  <c r="W48" i="8"/>
  <c r="W46" i="8"/>
  <c r="W44" i="8"/>
  <c r="W42" i="8"/>
  <c r="W40" i="8"/>
  <c r="W38" i="8"/>
  <c r="W36" i="8"/>
  <c r="W34" i="8"/>
  <c r="W32" i="8"/>
  <c r="W30" i="8"/>
  <c r="W28" i="8"/>
  <c r="W26" i="8"/>
  <c r="W24" i="8"/>
  <c r="W22" i="8"/>
  <c r="W20" i="8"/>
  <c r="W18" i="8"/>
  <c r="W16" i="8"/>
  <c r="W14" i="8"/>
  <c r="W12" i="8"/>
  <c r="W10" i="8"/>
  <c r="W8" i="8"/>
  <c r="W6" i="8"/>
  <c r="W4" i="8"/>
  <c r="W2" i="8"/>
  <c r="U107" i="8"/>
  <c r="U103" i="8"/>
  <c r="U99" i="8"/>
  <c r="U97" i="8"/>
  <c r="U95" i="8"/>
  <c r="U93" i="8"/>
  <c r="U91" i="8"/>
  <c r="U89" i="8"/>
  <c r="U87" i="8"/>
  <c r="U85" i="8"/>
  <c r="U83" i="8"/>
  <c r="U81" i="8"/>
  <c r="U78" i="8"/>
  <c r="U76" i="8"/>
  <c r="U74" i="8"/>
  <c r="U72" i="8"/>
  <c r="U70" i="8"/>
  <c r="U68" i="8"/>
  <c r="U66" i="8"/>
  <c r="U64" i="8"/>
  <c r="U62" i="8"/>
  <c r="U60" i="8"/>
  <c r="U58" i="8"/>
  <c r="U56" i="8"/>
  <c r="U54" i="8"/>
  <c r="U52" i="8"/>
  <c r="U50" i="8"/>
  <c r="U48" i="8"/>
  <c r="U46" i="8"/>
  <c r="U44" i="8"/>
  <c r="U42" i="8"/>
  <c r="U40" i="8"/>
  <c r="U38" i="8"/>
  <c r="U36" i="8"/>
  <c r="U34" i="8"/>
  <c r="U32" i="8"/>
  <c r="U30" i="8"/>
  <c r="U28" i="8"/>
  <c r="U26" i="8"/>
  <c r="U24" i="8"/>
  <c r="U22" i="8"/>
  <c r="U20" i="8"/>
  <c r="U18" i="8"/>
  <c r="U16" i="8"/>
  <c r="U14" i="8"/>
  <c r="U12" i="8"/>
  <c r="U10" i="8"/>
  <c r="U8" i="8"/>
  <c r="U6" i="8"/>
  <c r="U4" i="8"/>
  <c r="U2" i="8"/>
  <c r="S107" i="8"/>
  <c r="S103" i="8"/>
  <c r="S99" i="8"/>
  <c r="S97" i="8"/>
  <c r="S95" i="8"/>
  <c r="S93" i="8"/>
  <c r="S91" i="8"/>
  <c r="S89" i="8"/>
  <c r="S87" i="8"/>
  <c r="S85" i="8"/>
  <c r="S83" i="8"/>
  <c r="S81" i="8"/>
  <c r="S78" i="8"/>
  <c r="S76" i="8"/>
  <c r="S74" i="8"/>
  <c r="S72" i="8"/>
  <c r="S70" i="8"/>
  <c r="S68" i="8"/>
  <c r="S66" i="8"/>
  <c r="S64" i="8"/>
  <c r="S62" i="8"/>
  <c r="S60" i="8"/>
  <c r="S58" i="8"/>
  <c r="S56" i="8"/>
  <c r="S54" i="8"/>
  <c r="S52" i="8"/>
  <c r="S50" i="8"/>
  <c r="S48" i="8"/>
  <c r="S46" i="8"/>
  <c r="S44" i="8"/>
  <c r="S42" i="8"/>
  <c r="S40" i="8"/>
  <c r="S38" i="8"/>
  <c r="S36" i="8"/>
  <c r="S34" i="8"/>
  <c r="S32" i="8"/>
  <c r="S30" i="8"/>
  <c r="S28" i="8"/>
  <c r="S26" i="8"/>
  <c r="S24" i="8"/>
  <c r="S22" i="8"/>
  <c r="S20" i="8"/>
  <c r="S18" i="8"/>
  <c r="S16" i="8"/>
  <c r="S14" i="8"/>
  <c r="S12" i="8"/>
  <c r="S10" i="8"/>
  <c r="S8" i="8"/>
  <c r="S6" i="8"/>
  <c r="S4" i="8"/>
  <c r="S2" i="8"/>
  <c r="Q107" i="8"/>
  <c r="Q103" i="8"/>
  <c r="Q99" i="8"/>
  <c r="Q97" i="8"/>
  <c r="Q95" i="8"/>
  <c r="Q93" i="8"/>
  <c r="Q91" i="8"/>
  <c r="Q89" i="8"/>
  <c r="Q87" i="8"/>
  <c r="Q85" i="8"/>
  <c r="Q83" i="8"/>
  <c r="Q81" i="8"/>
  <c r="Q78" i="8"/>
  <c r="Q76" i="8"/>
  <c r="Q74" i="8"/>
  <c r="Q72" i="8"/>
  <c r="Q70" i="8"/>
  <c r="Q68" i="8"/>
  <c r="Q66" i="8"/>
  <c r="Q64" i="8"/>
  <c r="Q62" i="8"/>
  <c r="Q60" i="8"/>
  <c r="Q58" i="8"/>
  <c r="Q56" i="8"/>
  <c r="Q54" i="8"/>
  <c r="Q52" i="8"/>
  <c r="Q50" i="8"/>
  <c r="Q48" i="8"/>
  <c r="Q46" i="8"/>
  <c r="Q44" i="8"/>
  <c r="Q42" i="8"/>
  <c r="Q40" i="8"/>
  <c r="Q38" i="8"/>
  <c r="Q36" i="8"/>
  <c r="Q34" i="8"/>
  <c r="Q32" i="8"/>
  <c r="Q30" i="8"/>
  <c r="Q28" i="8"/>
  <c r="Q26" i="8"/>
  <c r="Q24" i="8"/>
  <c r="Q22" i="8"/>
  <c r="Q20" i="8"/>
  <c r="Q18" i="8"/>
  <c r="Q16" i="8"/>
  <c r="Q14" i="8"/>
  <c r="Q12" i="8"/>
  <c r="Q10" i="8"/>
  <c r="Q8" i="8"/>
  <c r="Q6" i="8"/>
  <c r="Q4" i="8"/>
  <c r="Q2" i="8"/>
  <c r="N107" i="8"/>
  <c r="N103" i="8"/>
  <c r="O103" i="8" s="1"/>
  <c r="N99" i="8"/>
  <c r="N97" i="8"/>
  <c r="N95" i="8"/>
  <c r="N93" i="8"/>
  <c r="N91" i="8"/>
  <c r="O91" i="8" s="1"/>
  <c r="N89" i="8"/>
  <c r="N87" i="8"/>
  <c r="N85" i="8"/>
  <c r="O85" i="8" s="1"/>
  <c r="N83" i="8"/>
  <c r="N81" i="8"/>
  <c r="N78" i="8"/>
  <c r="N76" i="8"/>
  <c r="N74" i="8"/>
  <c r="O74" i="8" s="1"/>
  <c r="N72" i="8"/>
  <c r="N70" i="8"/>
  <c r="N68" i="8"/>
  <c r="O68" i="8" s="1"/>
  <c r="N66" i="8"/>
  <c r="N64" i="8"/>
  <c r="N62" i="8"/>
  <c r="N60" i="8"/>
  <c r="N58" i="8"/>
  <c r="O58" i="8" s="1"/>
  <c r="N56" i="8"/>
  <c r="N54" i="8"/>
  <c r="N52" i="8"/>
  <c r="O52" i="8" s="1"/>
  <c r="N50" i="8"/>
  <c r="N48" i="8"/>
  <c r="N46" i="8"/>
  <c r="N44" i="8"/>
  <c r="N42" i="8"/>
  <c r="O42" i="8" s="1"/>
  <c r="N40" i="8"/>
  <c r="N38" i="8"/>
  <c r="N36" i="8"/>
  <c r="O36" i="8" s="1"/>
  <c r="N34" i="8"/>
  <c r="N32" i="8"/>
  <c r="N30" i="8"/>
  <c r="N28" i="8"/>
  <c r="N26" i="8"/>
  <c r="O26" i="8" s="1"/>
  <c r="N24" i="8"/>
  <c r="N22" i="8"/>
  <c r="N20" i="8"/>
  <c r="O20" i="8" s="1"/>
  <c r="N18" i="8"/>
  <c r="N16" i="8"/>
  <c r="N14" i="8"/>
  <c r="N12" i="8"/>
  <c r="N10" i="8"/>
  <c r="O10" i="8" s="1"/>
  <c r="N8" i="8"/>
  <c r="N6" i="8"/>
  <c r="N4" i="8"/>
  <c r="O4" i="8" s="1"/>
  <c r="N2" i="8"/>
  <c r="K4" i="8"/>
  <c r="K6" i="8"/>
  <c r="K8" i="8"/>
  <c r="K10" i="8"/>
  <c r="L10" i="8" s="1"/>
  <c r="K12" i="8"/>
  <c r="K14" i="8"/>
  <c r="K16" i="8"/>
  <c r="L16" i="8" s="1"/>
  <c r="K18" i="8"/>
  <c r="K20" i="8"/>
  <c r="K22" i="8"/>
  <c r="K24" i="8"/>
  <c r="K26" i="8"/>
  <c r="L26" i="8" s="1"/>
  <c r="K28" i="8"/>
  <c r="K30" i="8"/>
  <c r="K32" i="8"/>
  <c r="L32" i="8" s="1"/>
  <c r="K34" i="8"/>
  <c r="K36" i="8"/>
  <c r="K38" i="8"/>
  <c r="K40" i="8"/>
  <c r="K42" i="8"/>
  <c r="L42" i="8" s="1"/>
  <c r="K44" i="8"/>
  <c r="K46" i="8"/>
  <c r="K48" i="8"/>
  <c r="L48" i="8" s="1"/>
  <c r="K50" i="8"/>
  <c r="K52" i="8"/>
  <c r="K54" i="8"/>
  <c r="K56" i="8"/>
  <c r="K58" i="8"/>
  <c r="L58" i="8" s="1"/>
  <c r="K60" i="8"/>
  <c r="K62" i="8"/>
  <c r="K64" i="8"/>
  <c r="L64" i="8" s="1"/>
  <c r="K66" i="8"/>
  <c r="K68" i="8"/>
  <c r="K70" i="8"/>
  <c r="K72" i="8"/>
  <c r="K74" i="8"/>
  <c r="L74" i="8" s="1"/>
  <c r="K76" i="8"/>
  <c r="K78" i="8"/>
  <c r="K81" i="8"/>
  <c r="L81" i="8" s="1"/>
  <c r="K83" i="8"/>
  <c r="K85" i="8"/>
  <c r="K87" i="8"/>
  <c r="K89" i="8"/>
  <c r="K91" i="8"/>
  <c r="L91" i="8" s="1"/>
  <c r="K93" i="8"/>
  <c r="K95" i="8"/>
  <c r="K97" i="8"/>
  <c r="L97" i="8" s="1"/>
  <c r="K99" i="8"/>
  <c r="K103" i="8"/>
  <c r="K107" i="8"/>
  <c r="K2" i="8"/>
  <c r="I4" i="8"/>
  <c r="I6" i="8"/>
  <c r="I8" i="8"/>
  <c r="I10" i="8"/>
  <c r="I12" i="8"/>
  <c r="I14" i="8"/>
  <c r="I16" i="8"/>
  <c r="I18" i="8"/>
  <c r="I20" i="8"/>
  <c r="I22" i="8"/>
  <c r="I24" i="8"/>
  <c r="I26" i="8"/>
  <c r="I28" i="8"/>
  <c r="I30" i="8"/>
  <c r="I32" i="8"/>
  <c r="I34" i="8"/>
  <c r="I36" i="8"/>
  <c r="I38" i="8"/>
  <c r="I40" i="8"/>
  <c r="I42" i="8"/>
  <c r="I44" i="8"/>
  <c r="I46" i="8"/>
  <c r="I48" i="8"/>
  <c r="I50" i="8"/>
  <c r="I52" i="8"/>
  <c r="I54" i="8"/>
  <c r="I56" i="8"/>
  <c r="I58" i="8"/>
  <c r="I60" i="8"/>
  <c r="I62" i="8"/>
  <c r="I64" i="8"/>
  <c r="I66" i="8"/>
  <c r="I68" i="8"/>
  <c r="I70" i="8"/>
  <c r="I72" i="8"/>
  <c r="I74" i="8"/>
  <c r="I76" i="8"/>
  <c r="I78" i="8"/>
  <c r="I81" i="8"/>
  <c r="I83" i="8"/>
  <c r="I85" i="8"/>
  <c r="I87" i="8"/>
  <c r="I89" i="8"/>
  <c r="I91" i="8"/>
  <c r="I93" i="8"/>
  <c r="I95" i="8"/>
  <c r="I97" i="8"/>
  <c r="I99" i="8"/>
  <c r="I103" i="8"/>
  <c r="I107" i="8"/>
  <c r="I2" i="8"/>
  <c r="G4" i="8"/>
  <c r="G6" i="8"/>
  <c r="G8" i="8"/>
  <c r="G10" i="8"/>
  <c r="G12" i="8"/>
  <c r="G14" i="8"/>
  <c r="G16" i="8"/>
  <c r="G18" i="8"/>
  <c r="G20" i="8"/>
  <c r="G22" i="8"/>
  <c r="G24" i="8"/>
  <c r="G26" i="8"/>
  <c r="G28" i="8"/>
  <c r="G30" i="8"/>
  <c r="G32" i="8"/>
  <c r="G34" i="8"/>
  <c r="G36" i="8"/>
  <c r="G38" i="8"/>
  <c r="G40" i="8"/>
  <c r="G42" i="8"/>
  <c r="G44" i="8"/>
  <c r="G46" i="8"/>
  <c r="G48" i="8"/>
  <c r="G50" i="8"/>
  <c r="G52" i="8"/>
  <c r="G54" i="8"/>
  <c r="G56" i="8"/>
  <c r="G58" i="8"/>
  <c r="G60" i="8"/>
  <c r="G62" i="8"/>
  <c r="G64" i="8"/>
  <c r="G66" i="8"/>
  <c r="G68" i="8"/>
  <c r="G70" i="8"/>
  <c r="G72" i="8"/>
  <c r="G74" i="8"/>
  <c r="G76" i="8"/>
  <c r="G78" i="8"/>
  <c r="G81" i="8"/>
  <c r="G83" i="8"/>
  <c r="G85" i="8"/>
  <c r="G87" i="8"/>
  <c r="G89" i="8"/>
  <c r="G91" i="8"/>
  <c r="G93" i="8"/>
  <c r="G95" i="8"/>
  <c r="G97" i="8"/>
  <c r="G99" i="8"/>
  <c r="G103" i="8"/>
  <c r="G107" i="8"/>
  <c r="G2" i="8"/>
  <c r="E4" i="8"/>
  <c r="E6" i="8"/>
  <c r="E8" i="8"/>
  <c r="E10" i="8"/>
  <c r="E12" i="8"/>
  <c r="E14" i="8"/>
  <c r="E16" i="8"/>
  <c r="E18" i="8"/>
  <c r="E20" i="8"/>
  <c r="E22" i="8"/>
  <c r="E24" i="8"/>
  <c r="E26" i="8"/>
  <c r="E28" i="8"/>
  <c r="E30" i="8"/>
  <c r="E32" i="8"/>
  <c r="E34" i="8"/>
  <c r="E36" i="8"/>
  <c r="E38" i="8"/>
  <c r="E40" i="8"/>
  <c r="E42" i="8"/>
  <c r="E44" i="8"/>
  <c r="E46" i="8"/>
  <c r="E48" i="8"/>
  <c r="E50" i="8"/>
  <c r="E52" i="8"/>
  <c r="E54" i="8"/>
  <c r="E56" i="8"/>
  <c r="E58" i="8"/>
  <c r="E60" i="8"/>
  <c r="E62" i="8"/>
  <c r="E64" i="8"/>
  <c r="E66" i="8"/>
  <c r="E68" i="8"/>
  <c r="E70" i="8"/>
  <c r="E72" i="8"/>
  <c r="E74" i="8"/>
  <c r="E76" i="8"/>
  <c r="E78" i="8"/>
  <c r="E81" i="8"/>
  <c r="E83" i="8"/>
  <c r="E85" i="8"/>
  <c r="E87" i="8"/>
  <c r="E89" i="8"/>
  <c r="E91" i="8"/>
  <c r="E93" i="8"/>
  <c r="E95" i="8"/>
  <c r="E97" i="8"/>
  <c r="E99" i="8"/>
  <c r="E103" i="8"/>
  <c r="E107" i="8"/>
  <c r="E2" i="8"/>
  <c r="C6" i="8"/>
  <c r="C8" i="8"/>
  <c r="C10" i="8"/>
  <c r="C12" i="8"/>
  <c r="C14" i="8"/>
  <c r="C16" i="8"/>
  <c r="C18" i="8"/>
  <c r="C20" i="8"/>
  <c r="C22" i="8"/>
  <c r="C24" i="8"/>
  <c r="C26" i="8"/>
  <c r="C28" i="8"/>
  <c r="C30" i="8"/>
  <c r="C32" i="8"/>
  <c r="C34" i="8"/>
  <c r="C36" i="8"/>
  <c r="C38" i="8"/>
  <c r="C40" i="8"/>
  <c r="C42" i="8"/>
  <c r="C44" i="8"/>
  <c r="C46" i="8"/>
  <c r="C48" i="8"/>
  <c r="C50" i="8"/>
  <c r="C52" i="8"/>
  <c r="C54" i="8"/>
  <c r="C56" i="8"/>
  <c r="C58" i="8"/>
  <c r="C60" i="8"/>
  <c r="C62" i="8"/>
  <c r="C64" i="8"/>
  <c r="C66" i="8"/>
  <c r="C68" i="8"/>
  <c r="C70" i="8"/>
  <c r="C72" i="8"/>
  <c r="C74" i="8"/>
  <c r="C76" i="8"/>
  <c r="C78" i="8"/>
  <c r="C81" i="8"/>
  <c r="C83" i="8"/>
  <c r="C85" i="8"/>
  <c r="C87" i="8"/>
  <c r="C89" i="8"/>
  <c r="C91" i="8"/>
  <c r="C93" i="8"/>
  <c r="C95" i="8"/>
  <c r="C97" i="8"/>
  <c r="C99" i="8"/>
  <c r="C103" i="8"/>
  <c r="C107" i="8"/>
  <c r="C4" i="8"/>
  <c r="C2" i="8"/>
  <c r="H124" i="1"/>
  <c r="H128" i="1"/>
  <c r="H137" i="1"/>
  <c r="H149" i="1"/>
  <c r="H158" i="1"/>
  <c r="H168" i="1"/>
  <c r="H176" i="1"/>
  <c r="H184" i="1"/>
  <c r="H192" i="1"/>
  <c r="H200" i="1"/>
  <c r="C170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46" i="1"/>
  <c r="C147" i="1"/>
  <c r="C148" i="1"/>
  <c r="C149" i="1"/>
  <c r="E153" i="1" s="1"/>
  <c r="C150" i="1"/>
  <c r="C151" i="1"/>
  <c r="C152" i="1"/>
  <c r="C153" i="1"/>
  <c r="C154" i="1"/>
  <c r="C155" i="1"/>
  <c r="C156" i="1"/>
  <c r="C157" i="1"/>
  <c r="S176" i="1"/>
  <c r="H163" i="7"/>
  <c r="I163" i="7" s="1"/>
  <c r="H162" i="7"/>
  <c r="I162" i="7" s="1"/>
  <c r="F216" i="7" s="1"/>
  <c r="H161" i="7"/>
  <c r="I161" i="7" s="1"/>
  <c r="H160" i="7"/>
  <c r="I160" i="7" s="1"/>
  <c r="F215" i="7" s="1"/>
  <c r="H159" i="7"/>
  <c r="I159" i="7" s="1"/>
  <c r="H158" i="7"/>
  <c r="I158" i="7" s="1"/>
  <c r="H157" i="7"/>
  <c r="I157" i="7" s="1"/>
  <c r="H156" i="7"/>
  <c r="I156" i="7" s="1"/>
  <c r="H155" i="7"/>
  <c r="I155" i="7" s="1"/>
  <c r="H154" i="7"/>
  <c r="I154" i="7" s="1"/>
  <c r="F212" i="7" s="1"/>
  <c r="H153" i="7"/>
  <c r="I153" i="7" s="1"/>
  <c r="H152" i="7"/>
  <c r="I152" i="7" s="1"/>
  <c r="F211" i="7" s="1"/>
  <c r="H151" i="7"/>
  <c r="I151" i="7" s="1"/>
  <c r="H150" i="7"/>
  <c r="I150" i="7" s="1"/>
  <c r="H149" i="7"/>
  <c r="I149" i="7" s="1"/>
  <c r="H148" i="7"/>
  <c r="I148" i="7" s="1"/>
  <c r="H147" i="7"/>
  <c r="I147" i="7" s="1"/>
  <c r="H146" i="7"/>
  <c r="I146" i="7" s="1"/>
  <c r="F208" i="7" s="1"/>
  <c r="H145" i="7"/>
  <c r="I145" i="7" s="1"/>
  <c r="H144" i="7"/>
  <c r="I144" i="7" s="1"/>
  <c r="F207" i="7" s="1"/>
  <c r="H143" i="7"/>
  <c r="I143" i="7" s="1"/>
  <c r="H142" i="7"/>
  <c r="I142" i="7" s="1"/>
  <c r="E158" i="7"/>
  <c r="F158" i="7" s="1"/>
  <c r="E157" i="7"/>
  <c r="F157" i="7" s="1"/>
  <c r="E163" i="7"/>
  <c r="F163" i="7" s="1"/>
  <c r="E162" i="7"/>
  <c r="F162" i="7" s="1"/>
  <c r="C216" i="7" s="1"/>
  <c r="E161" i="7"/>
  <c r="F161" i="7" s="1"/>
  <c r="E160" i="7"/>
  <c r="F160" i="7" s="1"/>
  <c r="C215" i="7" s="1"/>
  <c r="E159" i="7"/>
  <c r="F159" i="7" s="1"/>
  <c r="E156" i="7"/>
  <c r="F156" i="7" s="1"/>
  <c r="E155" i="7"/>
  <c r="F155" i="7" s="1"/>
  <c r="E154" i="7"/>
  <c r="F154" i="7" s="1"/>
  <c r="C212" i="7" s="1"/>
  <c r="E153" i="7"/>
  <c r="F153" i="7" s="1"/>
  <c r="E152" i="7"/>
  <c r="F152" i="7" s="1"/>
  <c r="C211" i="7" s="1"/>
  <c r="E151" i="7"/>
  <c r="F151" i="7" s="1"/>
  <c r="E150" i="7"/>
  <c r="F150" i="7" s="1"/>
  <c r="C210" i="7" s="1"/>
  <c r="E149" i="7"/>
  <c r="F149" i="7" s="1"/>
  <c r="E148" i="7"/>
  <c r="F148" i="7" s="1"/>
  <c r="E147" i="7"/>
  <c r="F147" i="7" s="1"/>
  <c r="E146" i="7"/>
  <c r="F146" i="7" s="1"/>
  <c r="C208" i="7" s="1"/>
  <c r="E145" i="7"/>
  <c r="F145" i="7" s="1"/>
  <c r="E144" i="7"/>
  <c r="F144" i="7" s="1"/>
  <c r="C207" i="7" s="1"/>
  <c r="E143" i="7"/>
  <c r="F143" i="7" s="1"/>
  <c r="E142" i="7"/>
  <c r="F142" i="7" s="1"/>
  <c r="C206" i="7" s="1"/>
  <c r="F93" i="7"/>
  <c r="E141" i="7"/>
  <c r="F141" i="7" s="1"/>
  <c r="E140" i="7"/>
  <c r="F140" i="7" s="1"/>
  <c r="E139" i="7"/>
  <c r="F139" i="7" s="1"/>
  <c r="E138" i="7"/>
  <c r="F138" i="7" s="1"/>
  <c r="C204" i="7" s="1"/>
  <c r="E137" i="7"/>
  <c r="F137" i="7" s="1"/>
  <c r="E136" i="7"/>
  <c r="F136" i="7" s="1"/>
  <c r="C203" i="7" s="1"/>
  <c r="E135" i="7"/>
  <c r="F135" i="7" s="1"/>
  <c r="E134" i="7"/>
  <c r="F134" i="7" s="1"/>
  <c r="E133" i="7"/>
  <c r="F133" i="7" s="1"/>
  <c r="E132" i="7"/>
  <c r="F132" i="7" s="1"/>
  <c r="E131" i="7"/>
  <c r="F131" i="7" s="1"/>
  <c r="E130" i="7"/>
  <c r="F130" i="7" s="1"/>
  <c r="C200" i="7" s="1"/>
  <c r="E129" i="7"/>
  <c r="F129" i="7" s="1"/>
  <c r="E128" i="7"/>
  <c r="F128" i="7" s="1"/>
  <c r="C199" i="7" s="1"/>
  <c r="E127" i="7"/>
  <c r="F127" i="7" s="1"/>
  <c r="E126" i="7"/>
  <c r="F126" i="7" s="1"/>
  <c r="E125" i="7"/>
  <c r="F125" i="7" s="1"/>
  <c r="E124" i="7"/>
  <c r="F124" i="7" s="1"/>
  <c r="E123" i="7"/>
  <c r="F123" i="7" s="1"/>
  <c r="E122" i="7"/>
  <c r="F122" i="7" s="1"/>
  <c r="C196" i="7" s="1"/>
  <c r="E121" i="7"/>
  <c r="F121" i="7" s="1"/>
  <c r="E120" i="7"/>
  <c r="F120" i="7" s="1"/>
  <c r="C195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C192" i="7" s="1"/>
  <c r="E113" i="7"/>
  <c r="F113" i="7" s="1"/>
  <c r="E112" i="7"/>
  <c r="F112" i="7" s="1"/>
  <c r="C191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C187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C184" i="7" s="1"/>
  <c r="E97" i="7"/>
  <c r="F97" i="7" s="1"/>
  <c r="E96" i="7"/>
  <c r="F96" i="7" s="1"/>
  <c r="C183" i="7" s="1"/>
  <c r="E95" i="7"/>
  <c r="F95" i="7" s="1"/>
  <c r="E94" i="7"/>
  <c r="F94" i="7" s="1"/>
  <c r="E93" i="7"/>
  <c r="E92" i="7"/>
  <c r="F92" i="7" s="1"/>
  <c r="C181" i="7" s="1"/>
  <c r="E91" i="7"/>
  <c r="F91" i="7" s="1"/>
  <c r="E90" i="7"/>
  <c r="F90" i="7" s="1"/>
  <c r="C180" i="7" s="1"/>
  <c r="E89" i="7"/>
  <c r="F89" i="7" s="1"/>
  <c r="E88" i="7"/>
  <c r="F88" i="7" s="1"/>
  <c r="C179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C176" i="7" s="1"/>
  <c r="E81" i="7"/>
  <c r="F81" i="7" s="1"/>
  <c r="E80" i="7"/>
  <c r="F80" i="7" s="1"/>
  <c r="C175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C172" i="7" s="1"/>
  <c r="E73" i="7"/>
  <c r="F73" i="7" s="1"/>
  <c r="E72" i="7"/>
  <c r="F72" i="7" s="1"/>
  <c r="C171" i="7" s="1"/>
  <c r="E71" i="7"/>
  <c r="F71" i="7" s="1"/>
  <c r="E70" i="7"/>
  <c r="F70" i="7" s="1"/>
  <c r="E69" i="7"/>
  <c r="F69" i="7" s="1"/>
  <c r="E68" i="7"/>
  <c r="F68" i="7" s="1"/>
  <c r="E67" i="7"/>
  <c r="F67" i="7" s="1"/>
  <c r="E66" i="7"/>
  <c r="F66" i="7" s="1"/>
  <c r="C168" i="7" s="1"/>
  <c r="E65" i="7"/>
  <c r="F65" i="7" s="1"/>
  <c r="E64" i="7"/>
  <c r="F64" i="7" s="1"/>
  <c r="C167" i="7" s="1"/>
  <c r="E63" i="7"/>
  <c r="F63" i="7" s="1"/>
  <c r="E62" i="7"/>
  <c r="F62" i="7" s="1"/>
  <c r="I69" i="7"/>
  <c r="I77" i="7"/>
  <c r="I117" i="7"/>
  <c r="I125" i="7"/>
  <c r="I133" i="7"/>
  <c r="I141" i="7"/>
  <c r="M4" i="7"/>
  <c r="H141" i="7"/>
  <c r="H140" i="7"/>
  <c r="I140" i="7" s="1"/>
  <c r="H139" i="7"/>
  <c r="I139" i="7" s="1"/>
  <c r="H138" i="7"/>
  <c r="I138" i="7" s="1"/>
  <c r="H137" i="7"/>
  <c r="I137" i="7" s="1"/>
  <c r="H136" i="7"/>
  <c r="I136" i="7" s="1"/>
  <c r="H135" i="7"/>
  <c r="I135" i="7" s="1"/>
  <c r="H134" i="7"/>
  <c r="I134" i="7" s="1"/>
  <c r="H133" i="7"/>
  <c r="H132" i="7"/>
  <c r="I132" i="7" s="1"/>
  <c r="H131" i="7"/>
  <c r="I131" i="7" s="1"/>
  <c r="H130" i="7"/>
  <c r="I130" i="7" s="1"/>
  <c r="H129" i="7"/>
  <c r="I129" i="7" s="1"/>
  <c r="H128" i="7"/>
  <c r="I128" i="7" s="1"/>
  <c r="H127" i="7"/>
  <c r="I127" i="7" s="1"/>
  <c r="H126" i="7"/>
  <c r="I126" i="7" s="1"/>
  <c r="H125" i="7"/>
  <c r="H124" i="7"/>
  <c r="I124" i="7" s="1"/>
  <c r="H123" i="7"/>
  <c r="I123" i="7" s="1"/>
  <c r="H122" i="7"/>
  <c r="I122" i="7" s="1"/>
  <c r="H121" i="7"/>
  <c r="I121" i="7" s="1"/>
  <c r="H120" i="7"/>
  <c r="I120" i="7" s="1"/>
  <c r="H119" i="7"/>
  <c r="I119" i="7" s="1"/>
  <c r="H118" i="7"/>
  <c r="I118" i="7" s="1"/>
  <c r="H117" i="7"/>
  <c r="H116" i="7"/>
  <c r="I116" i="7" s="1"/>
  <c r="H115" i="7"/>
  <c r="I115" i="7" s="1"/>
  <c r="H114" i="7"/>
  <c r="I114" i="7" s="1"/>
  <c r="H113" i="7"/>
  <c r="I113" i="7" s="1"/>
  <c r="H112" i="7"/>
  <c r="I112" i="7" s="1"/>
  <c r="H111" i="7"/>
  <c r="I111" i="7" s="1"/>
  <c r="H110" i="7"/>
  <c r="I110" i="7" s="1"/>
  <c r="H109" i="7"/>
  <c r="I109" i="7" s="1"/>
  <c r="H108" i="7"/>
  <c r="I108" i="7" s="1"/>
  <c r="H107" i="7"/>
  <c r="I107" i="7" s="1"/>
  <c r="H106" i="7"/>
  <c r="I106" i="7" s="1"/>
  <c r="H105" i="7"/>
  <c r="I105" i="7" s="1"/>
  <c r="H104" i="7"/>
  <c r="I104" i="7" s="1"/>
  <c r="H103" i="7"/>
  <c r="I103" i="7" s="1"/>
  <c r="H102" i="7"/>
  <c r="I102" i="7" s="1"/>
  <c r="H101" i="7"/>
  <c r="I101" i="7" s="1"/>
  <c r="H100" i="7"/>
  <c r="I100" i="7" s="1"/>
  <c r="H99" i="7"/>
  <c r="I99" i="7" s="1"/>
  <c r="H98" i="7"/>
  <c r="I98" i="7" s="1"/>
  <c r="H97" i="7"/>
  <c r="I97" i="7" s="1"/>
  <c r="H96" i="7"/>
  <c r="I96" i="7" s="1"/>
  <c r="H95" i="7"/>
  <c r="I95" i="7" s="1"/>
  <c r="H94" i="7"/>
  <c r="I94" i="7" s="1"/>
  <c r="H93" i="7"/>
  <c r="I93" i="7" s="1"/>
  <c r="H92" i="7"/>
  <c r="I92" i="7" s="1"/>
  <c r="H91" i="7"/>
  <c r="I91" i="7" s="1"/>
  <c r="H90" i="7"/>
  <c r="I90" i="7" s="1"/>
  <c r="F180" i="7" s="1"/>
  <c r="H89" i="7"/>
  <c r="I89" i="7" s="1"/>
  <c r="H88" i="7"/>
  <c r="I88" i="7" s="1"/>
  <c r="H87" i="7"/>
  <c r="I87" i="7" s="1"/>
  <c r="H86" i="7"/>
  <c r="I86" i="7" s="1"/>
  <c r="H85" i="7"/>
  <c r="I85" i="7" s="1"/>
  <c r="H84" i="7"/>
  <c r="I84" i="7" s="1"/>
  <c r="H83" i="7"/>
  <c r="I83" i="7" s="1"/>
  <c r="H82" i="7"/>
  <c r="I82" i="7" s="1"/>
  <c r="F176" i="7" s="1"/>
  <c r="H81" i="7"/>
  <c r="I81" i="7" s="1"/>
  <c r="H80" i="7"/>
  <c r="I80" i="7" s="1"/>
  <c r="H79" i="7"/>
  <c r="I79" i="7" s="1"/>
  <c r="H78" i="7"/>
  <c r="I78" i="7" s="1"/>
  <c r="H77" i="7"/>
  <c r="H76" i="7"/>
  <c r="I76" i="7" s="1"/>
  <c r="H75" i="7"/>
  <c r="I75" i="7" s="1"/>
  <c r="H74" i="7"/>
  <c r="I74" i="7" s="1"/>
  <c r="F172" i="7" s="1"/>
  <c r="H73" i="7"/>
  <c r="I73" i="7" s="1"/>
  <c r="H72" i="7"/>
  <c r="I72" i="7" s="1"/>
  <c r="H71" i="7"/>
  <c r="I71" i="7" s="1"/>
  <c r="H70" i="7"/>
  <c r="I70" i="7" s="1"/>
  <c r="H69" i="7"/>
  <c r="H68" i="7"/>
  <c r="I68" i="7" s="1"/>
  <c r="H67" i="7"/>
  <c r="I67" i="7" s="1"/>
  <c r="H66" i="7"/>
  <c r="I66" i="7" s="1"/>
  <c r="F168" i="7" s="1"/>
  <c r="H65" i="7"/>
  <c r="I65" i="7" s="1"/>
  <c r="H64" i="7"/>
  <c r="I64" i="7" s="1"/>
  <c r="H63" i="7"/>
  <c r="I63" i="7" s="1"/>
  <c r="H62" i="7"/>
  <c r="I62" i="7" s="1"/>
  <c r="D44" i="7"/>
  <c r="D45" i="7"/>
  <c r="D46" i="7"/>
  <c r="D43" i="7"/>
  <c r="D50" i="7"/>
  <c r="D47" i="7"/>
  <c r="D57" i="7"/>
  <c r="D56" i="7"/>
  <c r="D55" i="7"/>
  <c r="D54" i="7"/>
  <c r="D53" i="7"/>
  <c r="D52" i="7"/>
  <c r="D51" i="7"/>
  <c r="D49" i="7"/>
  <c r="D48" i="7"/>
  <c r="D27" i="7"/>
  <c r="D58" i="7"/>
  <c r="D38" i="7"/>
  <c r="D37" i="7"/>
  <c r="D36" i="7"/>
  <c r="D35" i="7"/>
  <c r="D34" i="7"/>
  <c r="D32" i="7"/>
  <c r="D31" i="7"/>
  <c r="D30" i="7"/>
  <c r="D29" i="7"/>
  <c r="D28" i="7"/>
  <c r="D26" i="7"/>
  <c r="D25" i="7"/>
  <c r="D24" i="7"/>
  <c r="D23" i="7"/>
  <c r="D18" i="7"/>
  <c r="D17" i="7"/>
  <c r="D16" i="7"/>
  <c r="D15" i="7"/>
  <c r="D14" i="7"/>
  <c r="D13" i="7"/>
  <c r="D12" i="7"/>
  <c r="D11" i="7"/>
  <c r="D8" i="7"/>
  <c r="D7" i="7"/>
  <c r="D9" i="7"/>
  <c r="D10" i="7"/>
  <c r="D6" i="7"/>
  <c r="D5" i="7"/>
  <c r="D4" i="7"/>
  <c r="D3" i="7"/>
  <c r="S222" i="1"/>
  <c r="U166" i="1" s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S120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X3" i="1"/>
  <c r="W3" i="1"/>
  <c r="W117" i="1"/>
  <c r="X120" i="1" s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O120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P3" i="1"/>
  <c r="O3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3" i="1"/>
  <c r="L3" i="1"/>
  <c r="S114" i="1"/>
  <c r="T180" i="1" s="1"/>
  <c r="V124" i="1" s="1"/>
  <c r="H114" i="1"/>
  <c r="H121" i="1" s="1"/>
  <c r="G114" i="1"/>
  <c r="G120" i="1" s="1"/>
  <c r="I120" i="1" s="1"/>
  <c r="E121" i="1"/>
  <c r="C121" i="1"/>
  <c r="E122" i="1" s="1"/>
  <c r="E123" i="1"/>
  <c r="C122" i="1"/>
  <c r="E124" i="1" s="1"/>
  <c r="C123" i="1"/>
  <c r="E126" i="1" s="1"/>
  <c r="E127" i="1"/>
  <c r="C124" i="1"/>
  <c r="E128" i="1" s="1"/>
  <c r="E129" i="1"/>
  <c r="C125" i="1"/>
  <c r="E130" i="1" s="1"/>
  <c r="E131" i="1"/>
  <c r="C126" i="1"/>
  <c r="E132" i="1" s="1"/>
  <c r="E133" i="1"/>
  <c r="C127" i="1"/>
  <c r="E134" i="1" s="1"/>
  <c r="E135" i="1"/>
  <c r="C128" i="1"/>
  <c r="E136" i="1" s="1"/>
  <c r="E137" i="1"/>
  <c r="C129" i="1"/>
  <c r="E138" i="1" s="1"/>
  <c r="E139" i="1"/>
  <c r="C130" i="1"/>
  <c r="E140" i="1" s="1"/>
  <c r="E141" i="1"/>
  <c r="C131" i="1"/>
  <c r="E142" i="1" s="1"/>
  <c r="E143" i="1"/>
  <c r="C132" i="1"/>
  <c r="E144" i="1" s="1"/>
  <c r="E145" i="1"/>
  <c r="C133" i="1"/>
  <c r="E146" i="1" s="1"/>
  <c r="E147" i="1"/>
  <c r="C134" i="1"/>
  <c r="E148" i="1" s="1"/>
  <c r="E149" i="1"/>
  <c r="C135" i="1"/>
  <c r="E150" i="1" s="1"/>
  <c r="E151" i="1"/>
  <c r="C136" i="1"/>
  <c r="E152" i="1" s="1"/>
  <c r="C137" i="1"/>
  <c r="E154" i="1" s="1"/>
  <c r="E155" i="1"/>
  <c r="C138" i="1"/>
  <c r="E156" i="1" s="1"/>
  <c r="E157" i="1"/>
  <c r="C139" i="1"/>
  <c r="E158" i="1" s="1"/>
  <c r="E159" i="1"/>
  <c r="C140" i="1"/>
  <c r="E160" i="1" s="1"/>
  <c r="E161" i="1"/>
  <c r="C141" i="1"/>
  <c r="E162" i="1" s="1"/>
  <c r="E163" i="1"/>
  <c r="C142" i="1"/>
  <c r="E164" i="1" s="1"/>
  <c r="E165" i="1"/>
  <c r="C143" i="1"/>
  <c r="E166" i="1" s="1"/>
  <c r="E167" i="1"/>
  <c r="C144" i="1"/>
  <c r="E168" i="1" s="1"/>
  <c r="E169" i="1"/>
  <c r="C145" i="1"/>
  <c r="E170" i="1" s="1"/>
  <c r="H3" i="1"/>
  <c r="G3" i="1"/>
  <c r="E125" i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C120" i="1"/>
  <c r="E120" i="1" s="1"/>
  <c r="P100" i="1"/>
  <c r="P94" i="1"/>
  <c r="P93" i="1"/>
  <c r="P88" i="1"/>
  <c r="P87" i="1"/>
  <c r="P86" i="1"/>
  <c r="P82" i="1"/>
  <c r="P80" i="1"/>
  <c r="P79" i="1"/>
  <c r="P76" i="1"/>
  <c r="P75" i="1"/>
  <c r="P74" i="1"/>
  <c r="P73" i="1"/>
  <c r="P71" i="1"/>
  <c r="P70" i="1"/>
  <c r="P67" i="1"/>
  <c r="P58" i="1"/>
  <c r="P57" i="1"/>
  <c r="P55" i="1"/>
  <c r="P167" i="1" s="1"/>
  <c r="R167" i="1" s="1"/>
  <c r="P108" i="1"/>
  <c r="P104" i="1"/>
  <c r="P103" i="1"/>
  <c r="G198" i="1" l="1"/>
  <c r="G156" i="1"/>
  <c r="Z60" i="8"/>
  <c r="H120" i="1"/>
  <c r="G194" i="1"/>
  <c r="G186" i="1"/>
  <c r="G178" i="1"/>
  <c r="G170" i="1"/>
  <c r="G161" i="1"/>
  <c r="I162" i="1" s="1"/>
  <c r="G151" i="1"/>
  <c r="G139" i="1"/>
  <c r="G129" i="1"/>
  <c r="G125" i="1"/>
  <c r="G121" i="1"/>
  <c r="L99" i="8"/>
  <c r="L83" i="8"/>
  <c r="L66" i="8"/>
  <c r="L50" i="8"/>
  <c r="L34" i="8"/>
  <c r="L18" i="8"/>
  <c r="O2" i="8"/>
  <c r="O18" i="8"/>
  <c r="O34" i="8"/>
  <c r="O50" i="8"/>
  <c r="O66" i="8"/>
  <c r="O83" i="8"/>
  <c r="O99" i="8"/>
  <c r="Z4" i="8"/>
  <c r="Z20" i="8"/>
  <c r="Z36" i="8"/>
  <c r="Z52" i="8"/>
  <c r="Z68" i="8"/>
  <c r="Z85" i="8"/>
  <c r="Z103" i="8"/>
  <c r="AC14" i="8"/>
  <c r="AC30" i="8"/>
  <c r="AC46" i="8"/>
  <c r="AC62" i="8"/>
  <c r="AC78" i="8"/>
  <c r="AC95" i="8"/>
  <c r="G200" i="1"/>
  <c r="G192" i="1"/>
  <c r="G184" i="1"/>
  <c r="G176" i="1"/>
  <c r="G168" i="1"/>
  <c r="G158" i="1"/>
  <c r="G149" i="1"/>
  <c r="I152" i="1" s="1"/>
  <c r="G137" i="1"/>
  <c r="G128" i="1"/>
  <c r="I136" i="1" s="1"/>
  <c r="G124" i="1"/>
  <c r="L95" i="8"/>
  <c r="L78" i="8"/>
  <c r="L62" i="8"/>
  <c r="L46" i="8"/>
  <c r="L30" i="8"/>
  <c r="L14" i="8"/>
  <c r="O6" i="8"/>
  <c r="O22" i="8"/>
  <c r="O38" i="8"/>
  <c r="O54" i="8"/>
  <c r="O70" i="8"/>
  <c r="O87" i="8"/>
  <c r="O107" i="8"/>
  <c r="Z8" i="8"/>
  <c r="Z24" i="8"/>
  <c r="Z40" i="8"/>
  <c r="Z56" i="8"/>
  <c r="Z72" i="8"/>
  <c r="Z89" i="8"/>
  <c r="AC2" i="8"/>
  <c r="AC18" i="8"/>
  <c r="AC34" i="8"/>
  <c r="AC50" i="8"/>
  <c r="AC66" i="8"/>
  <c r="AC83" i="8"/>
  <c r="AC99" i="8"/>
  <c r="T216" i="1"/>
  <c r="V160" i="1" s="1"/>
  <c r="H198" i="1"/>
  <c r="H190" i="1"/>
  <c r="H182" i="1"/>
  <c r="H174" i="1"/>
  <c r="H166" i="1"/>
  <c r="H156" i="1"/>
  <c r="H146" i="1"/>
  <c r="H135" i="1"/>
  <c r="H127" i="1"/>
  <c r="H123" i="1"/>
  <c r="J126" i="1" s="1"/>
  <c r="L93" i="8"/>
  <c r="L76" i="8"/>
  <c r="L60" i="8"/>
  <c r="L44" i="8"/>
  <c r="L28" i="8"/>
  <c r="L12" i="8"/>
  <c r="O8" i="8"/>
  <c r="O24" i="8"/>
  <c r="O40" i="8"/>
  <c r="O56" i="8"/>
  <c r="O72" i="8"/>
  <c r="O89" i="8"/>
  <c r="Z10" i="8"/>
  <c r="Z26" i="8"/>
  <c r="Z42" i="8"/>
  <c r="Z58" i="8"/>
  <c r="Z74" i="8"/>
  <c r="Z91" i="8"/>
  <c r="AC4" i="8"/>
  <c r="AC20" i="8"/>
  <c r="AC36" i="8"/>
  <c r="AC52" i="8"/>
  <c r="AC68" i="8"/>
  <c r="AC85" i="8"/>
  <c r="AC103" i="8"/>
  <c r="G146" i="1"/>
  <c r="I150" i="1" s="1"/>
  <c r="Z12" i="8"/>
  <c r="G182" i="1"/>
  <c r="G166" i="1"/>
  <c r="G123" i="1"/>
  <c r="Z28" i="8"/>
  <c r="S182" i="1"/>
  <c r="U126" i="1" s="1"/>
  <c r="H196" i="1"/>
  <c r="H188" i="1"/>
  <c r="H180" i="1"/>
  <c r="H172" i="1"/>
  <c r="H163" i="1"/>
  <c r="H153" i="1"/>
  <c r="H143" i="1"/>
  <c r="H132" i="1"/>
  <c r="H126" i="1"/>
  <c r="H122" i="1"/>
  <c r="J124" i="1" s="1"/>
  <c r="L2" i="8"/>
  <c r="L89" i="8"/>
  <c r="L72" i="8"/>
  <c r="L56" i="8"/>
  <c r="L40" i="8"/>
  <c r="L24" i="8"/>
  <c r="L8" i="8"/>
  <c r="O12" i="8"/>
  <c r="O28" i="8"/>
  <c r="O44" i="8"/>
  <c r="O60" i="8"/>
  <c r="O76" i="8"/>
  <c r="O93" i="8"/>
  <c r="Z14" i="8"/>
  <c r="Z30" i="8"/>
  <c r="Z46" i="8"/>
  <c r="Z62" i="8"/>
  <c r="Z78" i="8"/>
  <c r="Z95" i="8"/>
  <c r="AC8" i="8"/>
  <c r="AC24" i="8"/>
  <c r="AC40" i="8"/>
  <c r="AC56" i="8"/>
  <c r="AC72" i="8"/>
  <c r="AC89" i="8"/>
  <c r="G135" i="1"/>
  <c r="Z76" i="8"/>
  <c r="T224" i="1"/>
  <c r="V168" i="1" s="1"/>
  <c r="G196" i="1"/>
  <c r="G188" i="1"/>
  <c r="G180" i="1"/>
  <c r="G172" i="1"/>
  <c r="G163" i="1"/>
  <c r="G153" i="1"/>
  <c r="G143" i="1"/>
  <c r="G132" i="1"/>
  <c r="G126" i="1"/>
  <c r="G122" i="1"/>
  <c r="I124" i="1" s="1"/>
  <c r="L107" i="8"/>
  <c r="L87" i="8"/>
  <c r="L70" i="8"/>
  <c r="L54" i="8"/>
  <c r="L38" i="8"/>
  <c r="L22" i="8"/>
  <c r="L6" i="8"/>
  <c r="O14" i="8"/>
  <c r="O30" i="8"/>
  <c r="O46" i="8"/>
  <c r="O62" i="8"/>
  <c r="O78" i="8"/>
  <c r="O95" i="8"/>
  <c r="Z16" i="8"/>
  <c r="Z32" i="8"/>
  <c r="Z48" i="8"/>
  <c r="Z64" i="8"/>
  <c r="Z81" i="8"/>
  <c r="Z97" i="8"/>
  <c r="AC10" i="8"/>
  <c r="AC26" i="8"/>
  <c r="AC42" i="8"/>
  <c r="AC58" i="8"/>
  <c r="AC74" i="8"/>
  <c r="AC91" i="8"/>
  <c r="G190" i="1"/>
  <c r="G174" i="1"/>
  <c r="G127" i="1"/>
  <c r="Z44" i="8"/>
  <c r="Z93" i="8"/>
  <c r="T208" i="1"/>
  <c r="V152" i="1" s="1"/>
  <c r="H194" i="1"/>
  <c r="H186" i="1"/>
  <c r="H178" i="1"/>
  <c r="H170" i="1"/>
  <c r="H161" i="1"/>
  <c r="H151" i="1"/>
  <c r="H139" i="1"/>
  <c r="H129" i="1"/>
  <c r="H125" i="1"/>
  <c r="J130" i="1" s="1"/>
  <c r="L103" i="8"/>
  <c r="L85" i="8"/>
  <c r="L68" i="8"/>
  <c r="L52" i="8"/>
  <c r="L36" i="8"/>
  <c r="L20" i="8"/>
  <c r="L4" i="8"/>
  <c r="O16" i="8"/>
  <c r="O32" i="8"/>
  <c r="O48" i="8"/>
  <c r="O64" i="8"/>
  <c r="O81" i="8"/>
  <c r="O97" i="8"/>
  <c r="Z2" i="8"/>
  <c r="Z18" i="8"/>
  <c r="Z34" i="8"/>
  <c r="Z50" i="8"/>
  <c r="Z66" i="8"/>
  <c r="Z83" i="8"/>
  <c r="Z99" i="8"/>
  <c r="AC12" i="8"/>
  <c r="AC28" i="8"/>
  <c r="AC44" i="8"/>
  <c r="AC60" i="8"/>
  <c r="AC76" i="8"/>
  <c r="AC93" i="8"/>
  <c r="W50" i="10"/>
  <c r="W42" i="10"/>
  <c r="W18" i="10"/>
  <c r="W10" i="10"/>
  <c r="W88" i="10"/>
  <c r="W72" i="10"/>
  <c r="W47" i="10"/>
  <c r="W15" i="10"/>
  <c r="W80" i="10"/>
  <c r="W39" i="10"/>
  <c r="W109" i="10"/>
  <c r="W64" i="10"/>
  <c r="W34" i="10"/>
  <c r="W104" i="10"/>
  <c r="W31" i="10"/>
  <c r="W101" i="10"/>
  <c r="W58" i="10"/>
  <c r="W26" i="10"/>
  <c r="W96" i="10"/>
  <c r="W55" i="10"/>
  <c r="W23" i="10"/>
  <c r="W93" i="10"/>
  <c r="W57" i="10"/>
  <c r="W49" i="10"/>
  <c r="W41" i="10"/>
  <c r="W33" i="10"/>
  <c r="W25" i="10"/>
  <c r="W17" i="10"/>
  <c r="W9" i="10"/>
  <c r="W103" i="10"/>
  <c r="W95" i="10"/>
  <c r="W87" i="10"/>
  <c r="W79" i="10"/>
  <c r="W71" i="10"/>
  <c r="W63" i="10"/>
  <c r="W56" i="10"/>
  <c r="W48" i="10"/>
  <c r="W40" i="10"/>
  <c r="W32" i="10"/>
  <c r="W24" i="10"/>
  <c r="W16" i="10"/>
  <c r="W59" i="10"/>
  <c r="W102" i="10"/>
  <c r="W94" i="10"/>
  <c r="W86" i="10"/>
  <c r="W78" i="10"/>
  <c r="W70" i="10"/>
  <c r="W62" i="10"/>
  <c r="W85" i="10"/>
  <c r="W77" i="10"/>
  <c r="W69" i="10"/>
  <c r="W61" i="10"/>
  <c r="W54" i="10"/>
  <c r="W46" i="10"/>
  <c r="W38" i="10"/>
  <c r="W30" i="10"/>
  <c r="W22" i="10"/>
  <c r="W14" i="10"/>
  <c r="W108" i="10"/>
  <c r="W100" i="10"/>
  <c r="W92" i="10"/>
  <c r="W84" i="10"/>
  <c r="W76" i="10"/>
  <c r="W68" i="10"/>
  <c r="W60" i="10"/>
  <c r="J73" i="10"/>
  <c r="K73" i="10" s="1"/>
  <c r="W53" i="10"/>
  <c r="W45" i="10"/>
  <c r="W37" i="10"/>
  <c r="W29" i="10"/>
  <c r="W21" i="10"/>
  <c r="W13" i="10"/>
  <c r="W107" i="10"/>
  <c r="W99" i="10"/>
  <c r="W91" i="10"/>
  <c r="W83" i="10"/>
  <c r="W75" i="10"/>
  <c r="W67" i="10"/>
  <c r="M59" i="10"/>
  <c r="N59" i="10" s="1"/>
  <c r="J51" i="10"/>
  <c r="K51" i="10" s="1"/>
  <c r="W52" i="10"/>
  <c r="W44" i="10"/>
  <c r="W36" i="10"/>
  <c r="W28" i="10"/>
  <c r="W20" i="10"/>
  <c r="W12" i="10"/>
  <c r="W106" i="10"/>
  <c r="W98" i="10"/>
  <c r="W90" i="10"/>
  <c r="W82" i="10"/>
  <c r="W74" i="10"/>
  <c r="W66" i="10"/>
  <c r="W8" i="10"/>
  <c r="W51" i="10"/>
  <c r="W43" i="10"/>
  <c r="W35" i="10"/>
  <c r="W27" i="10"/>
  <c r="W19" i="10"/>
  <c r="W105" i="10"/>
  <c r="W97" i="10"/>
  <c r="W89" i="10"/>
  <c r="W81" i="10"/>
  <c r="W73" i="10"/>
  <c r="M37" i="10"/>
  <c r="N37" i="10" s="1"/>
  <c r="M21" i="10"/>
  <c r="N21" i="10" s="1"/>
  <c r="J92" i="10"/>
  <c r="K92" i="10" s="1"/>
  <c r="J28" i="10"/>
  <c r="K28" i="10" s="1"/>
  <c r="M13" i="10"/>
  <c r="N13" i="10" s="1"/>
  <c r="M53" i="10"/>
  <c r="N53" i="10" s="1"/>
  <c r="J108" i="10"/>
  <c r="K108" i="10" s="1"/>
  <c r="M45" i="10"/>
  <c r="N45" i="10" s="1"/>
  <c r="M29" i="10"/>
  <c r="N29" i="10" s="1"/>
  <c r="M67" i="10"/>
  <c r="N67" i="10" s="1"/>
  <c r="J91" i="10"/>
  <c r="K91" i="10" s="1"/>
  <c r="J68" i="10"/>
  <c r="K68" i="10" s="1"/>
  <c r="J49" i="10"/>
  <c r="K49" i="10" s="1"/>
  <c r="J27" i="10"/>
  <c r="K27" i="10" s="1"/>
  <c r="M52" i="10"/>
  <c r="N52" i="10" s="1"/>
  <c r="M44" i="10"/>
  <c r="N44" i="10" s="1"/>
  <c r="M36" i="10"/>
  <c r="N36" i="10" s="1"/>
  <c r="M28" i="10"/>
  <c r="N28" i="10" s="1"/>
  <c r="M20" i="10"/>
  <c r="N20" i="10" s="1"/>
  <c r="M12" i="10"/>
  <c r="N12" i="10" s="1"/>
  <c r="M106" i="10"/>
  <c r="N106" i="10" s="1"/>
  <c r="M98" i="10"/>
  <c r="N98" i="10" s="1"/>
  <c r="M90" i="10"/>
  <c r="N90" i="10" s="1"/>
  <c r="M82" i="10"/>
  <c r="N82" i="10" s="1"/>
  <c r="M74" i="10"/>
  <c r="N74" i="10" s="1"/>
  <c r="M66" i="10"/>
  <c r="N66" i="10" s="1"/>
  <c r="M75" i="10"/>
  <c r="N75" i="10" s="1"/>
  <c r="J89" i="10"/>
  <c r="K89" i="10" s="1"/>
  <c r="J67" i="10"/>
  <c r="K67" i="10" s="1"/>
  <c r="J44" i="10"/>
  <c r="K44" i="10" s="1"/>
  <c r="J25" i="10"/>
  <c r="K25" i="10" s="1"/>
  <c r="M8" i="10"/>
  <c r="N8" i="10" s="1"/>
  <c r="M51" i="10"/>
  <c r="N51" i="10" s="1"/>
  <c r="M43" i="10"/>
  <c r="N43" i="10" s="1"/>
  <c r="M35" i="10"/>
  <c r="N35" i="10" s="1"/>
  <c r="M27" i="10"/>
  <c r="N27" i="10" s="1"/>
  <c r="M19" i="10"/>
  <c r="N19" i="10" s="1"/>
  <c r="M11" i="10"/>
  <c r="N11" i="10" s="1"/>
  <c r="M105" i="10"/>
  <c r="N105" i="10" s="1"/>
  <c r="M97" i="10"/>
  <c r="N97" i="10" s="1"/>
  <c r="M89" i="10"/>
  <c r="N89" i="10" s="1"/>
  <c r="M81" i="10"/>
  <c r="N81" i="10" s="1"/>
  <c r="M73" i="10"/>
  <c r="N73" i="10" s="1"/>
  <c r="M65" i="10"/>
  <c r="N65" i="10" s="1"/>
  <c r="M83" i="10"/>
  <c r="N83" i="10" s="1"/>
  <c r="J107" i="10"/>
  <c r="K107" i="10" s="1"/>
  <c r="J84" i="10"/>
  <c r="K84" i="10" s="1"/>
  <c r="J65" i="10"/>
  <c r="K65" i="10" s="1"/>
  <c r="J43" i="10"/>
  <c r="K43" i="10" s="1"/>
  <c r="J20" i="10"/>
  <c r="K20" i="10" s="1"/>
  <c r="M58" i="10"/>
  <c r="N58" i="10" s="1"/>
  <c r="M50" i="10"/>
  <c r="N50" i="10" s="1"/>
  <c r="M42" i="10"/>
  <c r="N42" i="10" s="1"/>
  <c r="M34" i="10"/>
  <c r="N34" i="10" s="1"/>
  <c r="M26" i="10"/>
  <c r="N26" i="10" s="1"/>
  <c r="M18" i="10"/>
  <c r="N18" i="10" s="1"/>
  <c r="M10" i="10"/>
  <c r="N10" i="10" s="1"/>
  <c r="M104" i="10"/>
  <c r="N104" i="10" s="1"/>
  <c r="M96" i="10"/>
  <c r="N96" i="10" s="1"/>
  <c r="M88" i="10"/>
  <c r="N88" i="10" s="1"/>
  <c r="M80" i="10"/>
  <c r="N80" i="10" s="1"/>
  <c r="M72" i="10"/>
  <c r="N72" i="10" s="1"/>
  <c r="M64" i="10"/>
  <c r="N64" i="10" s="1"/>
  <c r="J105" i="10"/>
  <c r="K105" i="10" s="1"/>
  <c r="J83" i="10"/>
  <c r="K83" i="10" s="1"/>
  <c r="J60" i="10"/>
  <c r="K60" i="10" s="1"/>
  <c r="J41" i="10"/>
  <c r="K41" i="10" s="1"/>
  <c r="J19" i="10"/>
  <c r="K19" i="10" s="1"/>
  <c r="M57" i="10"/>
  <c r="N57" i="10" s="1"/>
  <c r="M49" i="10"/>
  <c r="N49" i="10" s="1"/>
  <c r="M41" i="10"/>
  <c r="N41" i="10" s="1"/>
  <c r="M33" i="10"/>
  <c r="N33" i="10" s="1"/>
  <c r="M25" i="10"/>
  <c r="N25" i="10" s="1"/>
  <c r="M17" i="10"/>
  <c r="N17" i="10" s="1"/>
  <c r="M9" i="10"/>
  <c r="N9" i="10" s="1"/>
  <c r="M103" i="10"/>
  <c r="N103" i="10" s="1"/>
  <c r="M95" i="10"/>
  <c r="N95" i="10" s="1"/>
  <c r="M87" i="10"/>
  <c r="N87" i="10" s="1"/>
  <c r="M79" i="10"/>
  <c r="N79" i="10" s="1"/>
  <c r="M71" i="10"/>
  <c r="N71" i="10" s="1"/>
  <c r="M63" i="10"/>
  <c r="N63" i="10" s="1"/>
  <c r="M107" i="10"/>
  <c r="N107" i="10" s="1"/>
  <c r="J100" i="10"/>
  <c r="K100" i="10" s="1"/>
  <c r="J81" i="10"/>
  <c r="K81" i="10" s="1"/>
  <c r="J59" i="10"/>
  <c r="K59" i="10" s="1"/>
  <c r="J36" i="10"/>
  <c r="K36" i="10" s="1"/>
  <c r="J17" i="10"/>
  <c r="K17" i="10" s="1"/>
  <c r="M56" i="10"/>
  <c r="N56" i="10" s="1"/>
  <c r="M48" i="10"/>
  <c r="N48" i="10" s="1"/>
  <c r="M40" i="10"/>
  <c r="N40" i="10" s="1"/>
  <c r="M32" i="10"/>
  <c r="N32" i="10" s="1"/>
  <c r="M24" i="10"/>
  <c r="N24" i="10" s="1"/>
  <c r="M16" i="10"/>
  <c r="N16" i="10" s="1"/>
  <c r="M102" i="10"/>
  <c r="N102" i="10" s="1"/>
  <c r="M94" i="10"/>
  <c r="N94" i="10" s="1"/>
  <c r="M86" i="10"/>
  <c r="N86" i="10" s="1"/>
  <c r="M78" i="10"/>
  <c r="N78" i="10" s="1"/>
  <c r="M70" i="10"/>
  <c r="N70" i="10" s="1"/>
  <c r="M62" i="10"/>
  <c r="N62" i="10" s="1"/>
  <c r="M91" i="10"/>
  <c r="N91" i="10" s="1"/>
  <c r="J99" i="10"/>
  <c r="K99" i="10" s="1"/>
  <c r="J76" i="10"/>
  <c r="K76" i="10" s="1"/>
  <c r="J57" i="10"/>
  <c r="K57" i="10" s="1"/>
  <c r="J35" i="10"/>
  <c r="K35" i="10" s="1"/>
  <c r="J12" i="10"/>
  <c r="K12" i="10" s="1"/>
  <c r="M55" i="10"/>
  <c r="N55" i="10" s="1"/>
  <c r="M47" i="10"/>
  <c r="N47" i="10" s="1"/>
  <c r="M39" i="10"/>
  <c r="N39" i="10" s="1"/>
  <c r="M31" i="10"/>
  <c r="N31" i="10" s="1"/>
  <c r="M23" i="10"/>
  <c r="N23" i="10" s="1"/>
  <c r="M15" i="10"/>
  <c r="N15" i="10" s="1"/>
  <c r="M109" i="10"/>
  <c r="N109" i="10" s="1"/>
  <c r="M101" i="10"/>
  <c r="N101" i="10" s="1"/>
  <c r="M93" i="10"/>
  <c r="N93" i="10" s="1"/>
  <c r="M85" i="10"/>
  <c r="N85" i="10" s="1"/>
  <c r="M77" i="10"/>
  <c r="N77" i="10" s="1"/>
  <c r="M69" i="10"/>
  <c r="N69" i="10" s="1"/>
  <c r="M61" i="10"/>
  <c r="N61" i="10" s="1"/>
  <c r="M99" i="10"/>
  <c r="N99" i="10" s="1"/>
  <c r="J97" i="10"/>
  <c r="K97" i="10" s="1"/>
  <c r="J75" i="10"/>
  <c r="K75" i="10" s="1"/>
  <c r="J52" i="10"/>
  <c r="K52" i="10" s="1"/>
  <c r="J33" i="10"/>
  <c r="K33" i="10" s="1"/>
  <c r="J11" i="10"/>
  <c r="K11" i="10" s="1"/>
  <c r="M54" i="10"/>
  <c r="N54" i="10" s="1"/>
  <c r="M46" i="10"/>
  <c r="N46" i="10" s="1"/>
  <c r="M38" i="10"/>
  <c r="N38" i="10" s="1"/>
  <c r="M30" i="10"/>
  <c r="N30" i="10" s="1"/>
  <c r="M22" i="10"/>
  <c r="N22" i="10" s="1"/>
  <c r="M108" i="10"/>
  <c r="N108" i="10" s="1"/>
  <c r="M100" i="10"/>
  <c r="N100" i="10" s="1"/>
  <c r="M92" i="10"/>
  <c r="N92" i="10" s="1"/>
  <c r="M84" i="10"/>
  <c r="N84" i="10" s="1"/>
  <c r="M76" i="10"/>
  <c r="N76" i="10" s="1"/>
  <c r="M68" i="10"/>
  <c r="N68" i="10" s="1"/>
  <c r="J104" i="10"/>
  <c r="K104" i="10" s="1"/>
  <c r="J96" i="10"/>
  <c r="K96" i="10" s="1"/>
  <c r="J88" i="10"/>
  <c r="K88" i="10" s="1"/>
  <c r="J80" i="10"/>
  <c r="K80" i="10" s="1"/>
  <c r="J72" i="10"/>
  <c r="K72" i="10" s="1"/>
  <c r="J64" i="10"/>
  <c r="K64" i="10" s="1"/>
  <c r="J56" i="10"/>
  <c r="K56" i="10" s="1"/>
  <c r="J48" i="10"/>
  <c r="K48" i="10" s="1"/>
  <c r="J40" i="10"/>
  <c r="K40" i="10" s="1"/>
  <c r="J32" i="10"/>
  <c r="K32" i="10" s="1"/>
  <c r="J24" i="10"/>
  <c r="K24" i="10" s="1"/>
  <c r="J16" i="10"/>
  <c r="K16" i="10" s="1"/>
  <c r="J103" i="10"/>
  <c r="K103" i="10" s="1"/>
  <c r="J95" i="10"/>
  <c r="K95" i="10" s="1"/>
  <c r="J87" i="10"/>
  <c r="K87" i="10" s="1"/>
  <c r="J79" i="10"/>
  <c r="K79" i="10" s="1"/>
  <c r="J71" i="10"/>
  <c r="K71" i="10" s="1"/>
  <c r="J63" i="10"/>
  <c r="K63" i="10" s="1"/>
  <c r="J55" i="10"/>
  <c r="K55" i="10" s="1"/>
  <c r="J47" i="10"/>
  <c r="K47" i="10" s="1"/>
  <c r="J39" i="10"/>
  <c r="K39" i="10" s="1"/>
  <c r="J31" i="10"/>
  <c r="K31" i="10" s="1"/>
  <c r="J23" i="10"/>
  <c r="K23" i="10" s="1"/>
  <c r="J15" i="10"/>
  <c r="K15" i="10" s="1"/>
  <c r="J102" i="10"/>
  <c r="K102" i="10" s="1"/>
  <c r="J94" i="10"/>
  <c r="K94" i="10" s="1"/>
  <c r="J86" i="10"/>
  <c r="K86" i="10" s="1"/>
  <c r="J78" i="10"/>
  <c r="K78" i="10" s="1"/>
  <c r="J70" i="10"/>
  <c r="K70" i="10" s="1"/>
  <c r="J62" i="10"/>
  <c r="K62" i="10" s="1"/>
  <c r="J54" i="10"/>
  <c r="K54" i="10" s="1"/>
  <c r="J46" i="10"/>
  <c r="K46" i="10" s="1"/>
  <c r="J38" i="10"/>
  <c r="K38" i="10" s="1"/>
  <c r="J30" i="10"/>
  <c r="K30" i="10" s="1"/>
  <c r="J22" i="10"/>
  <c r="K22" i="10" s="1"/>
  <c r="J14" i="10"/>
  <c r="K14" i="10" s="1"/>
  <c r="J109" i="10"/>
  <c r="K109" i="10" s="1"/>
  <c r="J101" i="10"/>
  <c r="K101" i="10" s="1"/>
  <c r="J93" i="10"/>
  <c r="K93" i="10" s="1"/>
  <c r="J85" i="10"/>
  <c r="K85" i="10" s="1"/>
  <c r="J77" i="10"/>
  <c r="K77" i="10" s="1"/>
  <c r="J69" i="10"/>
  <c r="K69" i="10" s="1"/>
  <c r="J61" i="10"/>
  <c r="K61" i="10" s="1"/>
  <c r="J53" i="10"/>
  <c r="K53" i="10" s="1"/>
  <c r="J45" i="10"/>
  <c r="K45" i="10" s="1"/>
  <c r="J37" i="10"/>
  <c r="K37" i="10" s="1"/>
  <c r="J29" i="10"/>
  <c r="K29" i="10" s="1"/>
  <c r="J21" i="10"/>
  <c r="K21" i="10" s="1"/>
  <c r="J13" i="10"/>
  <c r="K13" i="10" s="1"/>
  <c r="J106" i="10"/>
  <c r="K106" i="10" s="1"/>
  <c r="J98" i="10"/>
  <c r="K98" i="10" s="1"/>
  <c r="J90" i="10"/>
  <c r="K90" i="10" s="1"/>
  <c r="J82" i="10"/>
  <c r="K82" i="10" s="1"/>
  <c r="J74" i="10"/>
  <c r="K74" i="10" s="1"/>
  <c r="J66" i="10"/>
  <c r="K66" i="10" s="1"/>
  <c r="J58" i="10"/>
  <c r="K58" i="10" s="1"/>
  <c r="J50" i="10"/>
  <c r="K50" i="10" s="1"/>
  <c r="J42" i="10"/>
  <c r="K42" i="10" s="1"/>
  <c r="J34" i="10"/>
  <c r="K34" i="10" s="1"/>
  <c r="J26" i="10"/>
  <c r="K26" i="10" s="1"/>
  <c r="J18" i="10"/>
  <c r="K18" i="10" s="1"/>
  <c r="J10" i="10"/>
  <c r="K10" i="10" s="1"/>
  <c r="J8" i="10"/>
  <c r="K8" i="10" s="1"/>
  <c r="C177" i="7"/>
  <c r="C189" i="7"/>
  <c r="C205" i="7"/>
  <c r="S214" i="1"/>
  <c r="U158" i="1" s="1"/>
  <c r="T200" i="1"/>
  <c r="V144" i="1" s="1"/>
  <c r="C185" i="7"/>
  <c r="F213" i="7"/>
  <c r="S206" i="1"/>
  <c r="U150" i="1" s="1"/>
  <c r="T192" i="1"/>
  <c r="V136" i="1" s="1"/>
  <c r="F169" i="7"/>
  <c r="F173" i="7"/>
  <c r="F177" i="7"/>
  <c r="F181" i="7"/>
  <c r="F185" i="7"/>
  <c r="F189" i="7"/>
  <c r="F193" i="7"/>
  <c r="F197" i="7"/>
  <c r="F201" i="7"/>
  <c r="F205" i="7"/>
  <c r="C173" i="7"/>
  <c r="C197" i="7"/>
  <c r="F209" i="7"/>
  <c r="S198" i="1"/>
  <c r="U142" i="1" s="1"/>
  <c r="T184" i="1"/>
  <c r="V128" i="1" s="1"/>
  <c r="C188" i="7"/>
  <c r="C169" i="7"/>
  <c r="C193" i="7"/>
  <c r="C201" i="7"/>
  <c r="C214" i="7"/>
  <c r="S190" i="1"/>
  <c r="U134" i="1" s="1"/>
  <c r="T176" i="1"/>
  <c r="V120" i="1" s="1"/>
  <c r="F166" i="7"/>
  <c r="F170" i="7"/>
  <c r="F174" i="7"/>
  <c r="F178" i="7"/>
  <c r="F182" i="7"/>
  <c r="F186" i="7"/>
  <c r="F190" i="7"/>
  <c r="F194" i="7"/>
  <c r="F198" i="7"/>
  <c r="Z120" i="1"/>
  <c r="F184" i="7"/>
  <c r="F188" i="7"/>
  <c r="F192" i="7"/>
  <c r="F196" i="7"/>
  <c r="F200" i="7"/>
  <c r="F204" i="7"/>
  <c r="F202" i="7"/>
  <c r="F167" i="7"/>
  <c r="F171" i="7"/>
  <c r="F175" i="7"/>
  <c r="F179" i="7"/>
  <c r="F183" i="7"/>
  <c r="F187" i="7"/>
  <c r="F191" i="7"/>
  <c r="F195" i="7"/>
  <c r="F199" i="7"/>
  <c r="F203" i="7"/>
  <c r="C166" i="7"/>
  <c r="C170" i="7"/>
  <c r="C174" i="7"/>
  <c r="C178" i="7"/>
  <c r="C182" i="7"/>
  <c r="C186" i="7"/>
  <c r="C190" i="7"/>
  <c r="C194" i="7"/>
  <c r="C198" i="7"/>
  <c r="C202" i="7"/>
  <c r="C209" i="7"/>
  <c r="C213" i="7"/>
  <c r="F206" i="7"/>
  <c r="F210" i="7"/>
  <c r="F214" i="7"/>
  <c r="S225" i="1"/>
  <c r="U169" i="1" s="1"/>
  <c r="S217" i="1"/>
  <c r="U161" i="1" s="1"/>
  <c r="S209" i="1"/>
  <c r="U153" i="1" s="1"/>
  <c r="S201" i="1"/>
  <c r="U145" i="1" s="1"/>
  <c r="S193" i="1"/>
  <c r="U137" i="1" s="1"/>
  <c r="S185" i="1"/>
  <c r="U129" i="1" s="1"/>
  <c r="S177" i="1"/>
  <c r="U121" i="1" s="1"/>
  <c r="T219" i="1"/>
  <c r="V163" i="1" s="1"/>
  <c r="T211" i="1"/>
  <c r="V155" i="1" s="1"/>
  <c r="T203" i="1"/>
  <c r="V147" i="1" s="1"/>
  <c r="T195" i="1"/>
  <c r="V139" i="1" s="1"/>
  <c r="T187" i="1"/>
  <c r="V131" i="1" s="1"/>
  <c r="T179" i="1"/>
  <c r="V123" i="1" s="1"/>
  <c r="S224" i="1"/>
  <c r="U168" i="1" s="1"/>
  <c r="S216" i="1"/>
  <c r="U160" i="1" s="1"/>
  <c r="S208" i="1"/>
  <c r="U152" i="1" s="1"/>
  <c r="S200" i="1"/>
  <c r="U144" i="1" s="1"/>
  <c r="S192" i="1"/>
  <c r="U136" i="1" s="1"/>
  <c r="S184" i="1"/>
  <c r="U128" i="1" s="1"/>
  <c r="T226" i="1"/>
  <c r="V170" i="1" s="1"/>
  <c r="T218" i="1"/>
  <c r="V162" i="1" s="1"/>
  <c r="T210" i="1"/>
  <c r="V154" i="1" s="1"/>
  <c r="T202" i="1"/>
  <c r="V146" i="1" s="1"/>
  <c r="T194" i="1"/>
  <c r="V138" i="1" s="1"/>
  <c r="T186" i="1"/>
  <c r="V130" i="1" s="1"/>
  <c r="T178" i="1"/>
  <c r="V122" i="1" s="1"/>
  <c r="S223" i="1"/>
  <c r="U167" i="1" s="1"/>
  <c r="S215" i="1"/>
  <c r="U159" i="1" s="1"/>
  <c r="S207" i="1"/>
  <c r="U151" i="1" s="1"/>
  <c r="S199" i="1"/>
  <c r="U143" i="1" s="1"/>
  <c r="S191" i="1"/>
  <c r="U135" i="1" s="1"/>
  <c r="S183" i="1"/>
  <c r="U127" i="1" s="1"/>
  <c r="T225" i="1"/>
  <c r="V169" i="1" s="1"/>
  <c r="T217" i="1"/>
  <c r="V161" i="1" s="1"/>
  <c r="T209" i="1"/>
  <c r="V153" i="1" s="1"/>
  <c r="T201" i="1"/>
  <c r="V145" i="1" s="1"/>
  <c r="T193" i="1"/>
  <c r="V137" i="1" s="1"/>
  <c r="T185" i="1"/>
  <c r="V129" i="1" s="1"/>
  <c r="T177" i="1"/>
  <c r="V121" i="1" s="1"/>
  <c r="S221" i="1"/>
  <c r="U165" i="1" s="1"/>
  <c r="S213" i="1"/>
  <c r="U157" i="1" s="1"/>
  <c r="S205" i="1"/>
  <c r="U149" i="1" s="1"/>
  <c r="S197" i="1"/>
  <c r="U141" i="1" s="1"/>
  <c r="S189" i="1"/>
  <c r="U133" i="1" s="1"/>
  <c r="S181" i="1"/>
  <c r="U125" i="1" s="1"/>
  <c r="T223" i="1"/>
  <c r="V167" i="1" s="1"/>
  <c r="T215" i="1"/>
  <c r="V159" i="1" s="1"/>
  <c r="T207" i="1"/>
  <c r="V151" i="1" s="1"/>
  <c r="T199" i="1"/>
  <c r="V143" i="1" s="1"/>
  <c r="T191" i="1"/>
  <c r="V135" i="1" s="1"/>
  <c r="T183" i="1"/>
  <c r="V127" i="1" s="1"/>
  <c r="S220" i="1"/>
  <c r="U164" i="1" s="1"/>
  <c r="S212" i="1"/>
  <c r="U156" i="1" s="1"/>
  <c r="S204" i="1"/>
  <c r="U148" i="1" s="1"/>
  <c r="S196" i="1"/>
  <c r="U140" i="1" s="1"/>
  <c r="S188" i="1"/>
  <c r="U132" i="1" s="1"/>
  <c r="S180" i="1"/>
  <c r="U124" i="1" s="1"/>
  <c r="T222" i="1"/>
  <c r="V166" i="1" s="1"/>
  <c r="T214" i="1"/>
  <c r="V158" i="1" s="1"/>
  <c r="T206" i="1"/>
  <c r="V150" i="1" s="1"/>
  <c r="T198" i="1"/>
  <c r="V142" i="1" s="1"/>
  <c r="T190" i="1"/>
  <c r="V134" i="1" s="1"/>
  <c r="T182" i="1"/>
  <c r="V126" i="1" s="1"/>
  <c r="U120" i="1"/>
  <c r="S219" i="1"/>
  <c r="U163" i="1" s="1"/>
  <c r="S211" i="1"/>
  <c r="U155" i="1" s="1"/>
  <c r="S203" i="1"/>
  <c r="U147" i="1" s="1"/>
  <c r="S195" i="1"/>
  <c r="U139" i="1" s="1"/>
  <c r="S187" i="1"/>
  <c r="U131" i="1" s="1"/>
  <c r="S179" i="1"/>
  <c r="U123" i="1" s="1"/>
  <c r="T221" i="1"/>
  <c r="V165" i="1" s="1"/>
  <c r="T213" i="1"/>
  <c r="V157" i="1" s="1"/>
  <c r="T205" i="1"/>
  <c r="V149" i="1" s="1"/>
  <c r="T197" i="1"/>
  <c r="V141" i="1" s="1"/>
  <c r="T189" i="1"/>
  <c r="V133" i="1" s="1"/>
  <c r="T181" i="1"/>
  <c r="V125" i="1" s="1"/>
  <c r="S226" i="1"/>
  <c r="U170" i="1" s="1"/>
  <c r="S218" i="1"/>
  <c r="U162" i="1" s="1"/>
  <c r="S210" i="1"/>
  <c r="U154" i="1" s="1"/>
  <c r="S202" i="1"/>
  <c r="U146" i="1" s="1"/>
  <c r="S194" i="1"/>
  <c r="U138" i="1" s="1"/>
  <c r="S186" i="1"/>
  <c r="U130" i="1" s="1"/>
  <c r="S178" i="1"/>
  <c r="U122" i="1" s="1"/>
  <c r="T220" i="1"/>
  <c r="V164" i="1" s="1"/>
  <c r="T212" i="1"/>
  <c r="V156" i="1" s="1"/>
  <c r="T204" i="1"/>
  <c r="V148" i="1" s="1"/>
  <c r="T196" i="1"/>
  <c r="V140" i="1" s="1"/>
  <c r="T188" i="1"/>
  <c r="V132" i="1" s="1"/>
  <c r="X128" i="1"/>
  <c r="Z128" i="1" s="1"/>
  <c r="W165" i="1"/>
  <c r="Y165" i="1" s="1"/>
  <c r="W157" i="1"/>
  <c r="Y157" i="1" s="1"/>
  <c r="W149" i="1"/>
  <c r="Y149" i="1" s="1"/>
  <c r="W141" i="1"/>
  <c r="Y141" i="1" s="1"/>
  <c r="W133" i="1"/>
  <c r="Y133" i="1" s="1"/>
  <c r="W125" i="1"/>
  <c r="Y125" i="1" s="1"/>
  <c r="X167" i="1"/>
  <c r="Z167" i="1" s="1"/>
  <c r="X159" i="1"/>
  <c r="Z159" i="1" s="1"/>
  <c r="X151" i="1"/>
  <c r="Z151" i="1" s="1"/>
  <c r="X143" i="1"/>
  <c r="Z143" i="1" s="1"/>
  <c r="X135" i="1"/>
  <c r="Z135" i="1" s="1"/>
  <c r="X127" i="1"/>
  <c r="Z127" i="1" s="1"/>
  <c r="W148" i="1"/>
  <c r="Y148" i="1" s="1"/>
  <c r="X134" i="1"/>
  <c r="Z134" i="1" s="1"/>
  <c r="W120" i="1"/>
  <c r="Y120" i="1" s="1"/>
  <c r="W163" i="1"/>
  <c r="Y163" i="1" s="1"/>
  <c r="W155" i="1"/>
  <c r="Y155" i="1" s="1"/>
  <c r="W147" i="1"/>
  <c r="Y147" i="1" s="1"/>
  <c r="W139" i="1"/>
  <c r="Y139" i="1" s="1"/>
  <c r="W131" i="1"/>
  <c r="Y131" i="1" s="1"/>
  <c r="W123" i="1"/>
  <c r="Y123" i="1" s="1"/>
  <c r="X165" i="1"/>
  <c r="Z165" i="1" s="1"/>
  <c r="X157" i="1"/>
  <c r="Z157" i="1" s="1"/>
  <c r="X149" i="1"/>
  <c r="Z149" i="1" s="1"/>
  <c r="X141" i="1"/>
  <c r="Z141" i="1" s="1"/>
  <c r="X133" i="1"/>
  <c r="Z133" i="1" s="1"/>
  <c r="X125" i="1"/>
  <c r="Z125" i="1" s="1"/>
  <c r="W156" i="1"/>
  <c r="Y156" i="1" s="1"/>
  <c r="W140" i="1"/>
  <c r="Y140" i="1" s="1"/>
  <c r="W132" i="1"/>
  <c r="Y132" i="1" s="1"/>
  <c r="W124" i="1"/>
  <c r="Y124" i="1" s="1"/>
  <c r="X166" i="1"/>
  <c r="Z166" i="1" s="1"/>
  <c r="X142" i="1"/>
  <c r="Z142" i="1" s="1"/>
  <c r="W170" i="1"/>
  <c r="Y170" i="1" s="1"/>
  <c r="W162" i="1"/>
  <c r="Y162" i="1" s="1"/>
  <c r="W154" i="1"/>
  <c r="Y154" i="1" s="1"/>
  <c r="W146" i="1"/>
  <c r="Y146" i="1" s="1"/>
  <c r="W138" i="1"/>
  <c r="Y138" i="1" s="1"/>
  <c r="W130" i="1"/>
  <c r="Y130" i="1" s="1"/>
  <c r="W122" i="1"/>
  <c r="Y122" i="1" s="1"/>
  <c r="X164" i="1"/>
  <c r="Z164" i="1" s="1"/>
  <c r="X156" i="1"/>
  <c r="Z156" i="1" s="1"/>
  <c r="X148" i="1"/>
  <c r="Z148" i="1" s="1"/>
  <c r="X140" i="1"/>
  <c r="Z140" i="1" s="1"/>
  <c r="X132" i="1"/>
  <c r="Z132" i="1" s="1"/>
  <c r="X124" i="1"/>
  <c r="Z124" i="1" s="1"/>
  <c r="X150" i="1"/>
  <c r="Z150" i="1" s="1"/>
  <c r="W169" i="1"/>
  <c r="Y169" i="1" s="1"/>
  <c r="W161" i="1"/>
  <c r="Y161" i="1" s="1"/>
  <c r="W153" i="1"/>
  <c r="Y153" i="1" s="1"/>
  <c r="W145" i="1"/>
  <c r="Y145" i="1" s="1"/>
  <c r="W137" i="1"/>
  <c r="Y137" i="1" s="1"/>
  <c r="W129" i="1"/>
  <c r="Y129" i="1" s="1"/>
  <c r="W121" i="1"/>
  <c r="Y121" i="1" s="1"/>
  <c r="X163" i="1"/>
  <c r="Z163" i="1" s="1"/>
  <c r="X155" i="1"/>
  <c r="Z155" i="1" s="1"/>
  <c r="X147" i="1"/>
  <c r="Z147" i="1" s="1"/>
  <c r="X139" i="1"/>
  <c r="Z139" i="1" s="1"/>
  <c r="X131" i="1"/>
  <c r="Z131" i="1" s="1"/>
  <c r="X123" i="1"/>
  <c r="Z123" i="1" s="1"/>
  <c r="W164" i="1"/>
  <c r="Y164" i="1" s="1"/>
  <c r="X158" i="1"/>
  <c r="Z158" i="1" s="1"/>
  <c r="W168" i="1"/>
  <c r="Y168" i="1" s="1"/>
  <c r="W160" i="1"/>
  <c r="Y160" i="1" s="1"/>
  <c r="W152" i="1"/>
  <c r="Y152" i="1" s="1"/>
  <c r="W144" i="1"/>
  <c r="Y144" i="1" s="1"/>
  <c r="W136" i="1"/>
  <c r="Y136" i="1" s="1"/>
  <c r="W128" i="1"/>
  <c r="Y128" i="1" s="1"/>
  <c r="X170" i="1"/>
  <c r="Z170" i="1" s="1"/>
  <c r="X162" i="1"/>
  <c r="Z162" i="1" s="1"/>
  <c r="X154" i="1"/>
  <c r="Z154" i="1" s="1"/>
  <c r="X146" i="1"/>
  <c r="Z146" i="1" s="1"/>
  <c r="X138" i="1"/>
  <c r="Z138" i="1" s="1"/>
  <c r="X130" i="1"/>
  <c r="Z130" i="1" s="1"/>
  <c r="X122" i="1"/>
  <c r="Z122" i="1" s="1"/>
  <c r="X126" i="1"/>
  <c r="Z126" i="1" s="1"/>
  <c r="W167" i="1"/>
  <c r="Y167" i="1" s="1"/>
  <c r="W159" i="1"/>
  <c r="Y159" i="1" s="1"/>
  <c r="W151" i="1"/>
  <c r="Y151" i="1" s="1"/>
  <c r="W143" i="1"/>
  <c r="Y143" i="1" s="1"/>
  <c r="W135" i="1"/>
  <c r="Y135" i="1" s="1"/>
  <c r="W127" i="1"/>
  <c r="Y127" i="1" s="1"/>
  <c r="X169" i="1"/>
  <c r="Z169" i="1" s="1"/>
  <c r="X161" i="1"/>
  <c r="Z161" i="1" s="1"/>
  <c r="X153" i="1"/>
  <c r="Z153" i="1" s="1"/>
  <c r="X145" i="1"/>
  <c r="Z145" i="1" s="1"/>
  <c r="X137" i="1"/>
  <c r="Z137" i="1" s="1"/>
  <c r="X129" i="1"/>
  <c r="Z129" i="1" s="1"/>
  <c r="X121" i="1"/>
  <c r="Z121" i="1" s="1"/>
  <c r="W166" i="1"/>
  <c r="Y166" i="1" s="1"/>
  <c r="W158" i="1"/>
  <c r="Y158" i="1" s="1"/>
  <c r="W150" i="1"/>
  <c r="Y150" i="1" s="1"/>
  <c r="W142" i="1"/>
  <c r="Y142" i="1" s="1"/>
  <c r="W134" i="1"/>
  <c r="Y134" i="1" s="1"/>
  <c r="W126" i="1"/>
  <c r="Y126" i="1" s="1"/>
  <c r="X168" i="1"/>
  <c r="Z168" i="1" s="1"/>
  <c r="X160" i="1"/>
  <c r="Z160" i="1" s="1"/>
  <c r="X152" i="1"/>
  <c r="Z152" i="1" s="1"/>
  <c r="X144" i="1"/>
  <c r="Z144" i="1" s="1"/>
  <c r="X136" i="1"/>
  <c r="Z136" i="1" s="1"/>
  <c r="R159" i="1"/>
  <c r="R141" i="1"/>
  <c r="R166" i="1"/>
  <c r="R158" i="1"/>
  <c r="R163" i="1"/>
  <c r="R139" i="1"/>
  <c r="Q126" i="1"/>
  <c r="Q134" i="1"/>
  <c r="Q142" i="1"/>
  <c r="Q150" i="1"/>
  <c r="Q158" i="1"/>
  <c r="Q166" i="1"/>
  <c r="R164" i="1"/>
  <c r="R156" i="1"/>
  <c r="R148" i="1"/>
  <c r="R140" i="1"/>
  <c r="R132" i="1"/>
  <c r="R124" i="1"/>
  <c r="N161" i="1"/>
  <c r="R155" i="1"/>
  <c r="R147" i="1"/>
  <c r="R131" i="1"/>
  <c r="R123" i="1"/>
  <c r="M160" i="1"/>
  <c r="R165" i="1"/>
  <c r="Q122" i="1"/>
  <c r="Q130" i="1"/>
  <c r="Q138" i="1"/>
  <c r="Q146" i="1"/>
  <c r="Q154" i="1"/>
  <c r="R160" i="1"/>
  <c r="P170" i="1"/>
  <c r="R170" i="1" s="1"/>
  <c r="R150" i="1"/>
  <c r="R142" i="1"/>
  <c r="R134" i="1"/>
  <c r="R126" i="1"/>
  <c r="Q125" i="1"/>
  <c r="Q133" i="1"/>
  <c r="Q141" i="1"/>
  <c r="Q149" i="1"/>
  <c r="Q157" i="1"/>
  <c r="Q165" i="1"/>
  <c r="Q123" i="1"/>
  <c r="Q127" i="1"/>
  <c r="Q135" i="1"/>
  <c r="Q143" i="1"/>
  <c r="Q151" i="1"/>
  <c r="Q159" i="1"/>
  <c r="Q167" i="1"/>
  <c r="R157" i="1"/>
  <c r="M127" i="1"/>
  <c r="Q128" i="1"/>
  <c r="Q136" i="1"/>
  <c r="Q144" i="1"/>
  <c r="Q152" i="1"/>
  <c r="Q160" i="1"/>
  <c r="Q168" i="1"/>
  <c r="R162" i="1"/>
  <c r="R154" i="1"/>
  <c r="R146" i="1"/>
  <c r="R138" i="1"/>
  <c r="R130" i="1"/>
  <c r="R122" i="1"/>
  <c r="R133" i="1"/>
  <c r="Q121" i="1"/>
  <c r="Q129" i="1"/>
  <c r="Q137" i="1"/>
  <c r="Q145" i="1"/>
  <c r="Q153" i="1"/>
  <c r="Q161" i="1"/>
  <c r="Q169" i="1"/>
  <c r="R161" i="1"/>
  <c r="R153" i="1"/>
  <c r="R145" i="1"/>
  <c r="R137" i="1"/>
  <c r="R129" i="1"/>
  <c r="R121" i="1"/>
  <c r="Q162" i="1"/>
  <c r="Q170" i="1"/>
  <c r="R152" i="1"/>
  <c r="R144" i="1"/>
  <c r="R136" i="1"/>
  <c r="R128" i="1"/>
  <c r="R120" i="1"/>
  <c r="R149" i="1"/>
  <c r="R151" i="1"/>
  <c r="R143" i="1"/>
  <c r="R135" i="1"/>
  <c r="R127" i="1"/>
  <c r="R125" i="1"/>
  <c r="M125" i="1"/>
  <c r="M133" i="1"/>
  <c r="M141" i="1"/>
  <c r="M149" i="1"/>
  <c r="M157" i="1"/>
  <c r="M165" i="1"/>
  <c r="P169" i="1"/>
  <c r="R169" i="1" s="1"/>
  <c r="M126" i="1"/>
  <c r="M134" i="1"/>
  <c r="M142" i="1"/>
  <c r="M150" i="1"/>
  <c r="M158" i="1"/>
  <c r="M166" i="1"/>
  <c r="P168" i="1"/>
  <c r="R168" i="1" s="1"/>
  <c r="Q164" i="1"/>
  <c r="Q156" i="1"/>
  <c r="Q148" i="1"/>
  <c r="Q140" i="1"/>
  <c r="Q132" i="1"/>
  <c r="Q124" i="1"/>
  <c r="Q120" i="1"/>
  <c r="Q163" i="1"/>
  <c r="Q155" i="1"/>
  <c r="Q147" i="1"/>
  <c r="Q139" i="1"/>
  <c r="Q131" i="1"/>
  <c r="M135" i="1"/>
  <c r="M121" i="1"/>
  <c r="M161" i="1"/>
  <c r="M159" i="1"/>
  <c r="M153" i="1"/>
  <c r="M122" i="1"/>
  <c r="M130" i="1"/>
  <c r="M138" i="1"/>
  <c r="M146" i="1"/>
  <c r="M154" i="1"/>
  <c r="M162" i="1"/>
  <c r="M170" i="1"/>
  <c r="M151" i="1"/>
  <c r="M129" i="1"/>
  <c r="M145" i="1"/>
  <c r="M123" i="1"/>
  <c r="M131" i="1"/>
  <c r="M139" i="1"/>
  <c r="M147" i="1"/>
  <c r="M155" i="1"/>
  <c r="M163" i="1"/>
  <c r="M143" i="1"/>
  <c r="M137" i="1"/>
  <c r="M169" i="1"/>
  <c r="N169" i="1"/>
  <c r="N145" i="1"/>
  <c r="N137" i="1"/>
  <c r="M124" i="1"/>
  <c r="M132" i="1"/>
  <c r="M140" i="1"/>
  <c r="M148" i="1"/>
  <c r="M156" i="1"/>
  <c r="M164" i="1"/>
  <c r="N168" i="1"/>
  <c r="N160" i="1"/>
  <c r="N152" i="1"/>
  <c r="N144" i="1"/>
  <c r="N136" i="1"/>
  <c r="N128" i="1"/>
  <c r="N120" i="1"/>
  <c r="N122" i="1"/>
  <c r="N167" i="1"/>
  <c r="N159" i="1"/>
  <c r="N151" i="1"/>
  <c r="N143" i="1"/>
  <c r="N135" i="1"/>
  <c r="N127" i="1"/>
  <c r="M167" i="1"/>
  <c r="N153" i="1"/>
  <c r="N166" i="1"/>
  <c r="N158" i="1"/>
  <c r="N150" i="1"/>
  <c r="N142" i="1"/>
  <c r="N134" i="1"/>
  <c r="N126" i="1"/>
  <c r="M120" i="1"/>
  <c r="M128" i="1"/>
  <c r="M136" i="1"/>
  <c r="M144" i="1"/>
  <c r="M152" i="1"/>
  <c r="N165" i="1"/>
  <c r="N157" i="1"/>
  <c r="N149" i="1"/>
  <c r="N141" i="1"/>
  <c r="N133" i="1"/>
  <c r="N125" i="1"/>
  <c r="N164" i="1"/>
  <c r="N156" i="1"/>
  <c r="N148" i="1"/>
  <c r="N140" i="1"/>
  <c r="N132" i="1"/>
  <c r="N124" i="1"/>
  <c r="N129" i="1"/>
  <c r="N163" i="1"/>
  <c r="N155" i="1"/>
  <c r="N147" i="1"/>
  <c r="N139" i="1"/>
  <c r="N131" i="1"/>
  <c r="N123" i="1"/>
  <c r="N121" i="1"/>
  <c r="J156" i="1"/>
  <c r="M168" i="1"/>
  <c r="N170" i="1"/>
  <c r="N162" i="1"/>
  <c r="N154" i="1"/>
  <c r="N146" i="1"/>
  <c r="N138" i="1"/>
  <c r="N130" i="1"/>
  <c r="J160" i="1"/>
  <c r="I128" i="1"/>
  <c r="J155" i="1"/>
  <c r="J122" i="1"/>
  <c r="J152" i="1"/>
  <c r="J144" i="1"/>
  <c r="J168" i="1"/>
  <c r="J136" i="1"/>
  <c r="J164" i="1"/>
  <c r="J128" i="1"/>
  <c r="J163" i="1"/>
  <c r="J120" i="1"/>
  <c r="I167" i="1"/>
  <c r="I159" i="1"/>
  <c r="I151" i="1"/>
  <c r="I143" i="1"/>
  <c r="I135" i="1"/>
  <c r="I127" i="1"/>
  <c r="J169" i="1"/>
  <c r="J161" i="1"/>
  <c r="J153" i="1"/>
  <c r="J145" i="1"/>
  <c r="J137" i="1"/>
  <c r="J129" i="1"/>
  <c r="J121" i="1"/>
  <c r="I142" i="1"/>
  <c r="I126" i="1"/>
  <c r="I165" i="1"/>
  <c r="I157" i="1"/>
  <c r="I149" i="1"/>
  <c r="I141" i="1"/>
  <c r="I133" i="1"/>
  <c r="I125" i="1"/>
  <c r="J167" i="1"/>
  <c r="J159" i="1"/>
  <c r="J151" i="1"/>
  <c r="J143" i="1"/>
  <c r="J135" i="1"/>
  <c r="J127" i="1"/>
  <c r="I164" i="1"/>
  <c r="I156" i="1"/>
  <c r="I148" i="1"/>
  <c r="I140" i="1"/>
  <c r="I132" i="1"/>
  <c r="J166" i="1"/>
  <c r="J158" i="1"/>
  <c r="J150" i="1"/>
  <c r="J142" i="1"/>
  <c r="J134" i="1"/>
  <c r="I163" i="1"/>
  <c r="I155" i="1"/>
  <c r="I147" i="1"/>
  <c r="I139" i="1"/>
  <c r="I131" i="1"/>
  <c r="I123" i="1"/>
  <c r="J165" i="1"/>
  <c r="J157" i="1"/>
  <c r="J149" i="1"/>
  <c r="J141" i="1"/>
  <c r="J133" i="1"/>
  <c r="J125" i="1"/>
  <c r="I166" i="1"/>
  <c r="I170" i="1"/>
  <c r="I154" i="1"/>
  <c r="I146" i="1"/>
  <c r="I138" i="1"/>
  <c r="I130" i="1"/>
  <c r="I122" i="1"/>
  <c r="J148" i="1"/>
  <c r="J140" i="1"/>
  <c r="J132" i="1"/>
  <c r="I158" i="1"/>
  <c r="I169" i="1"/>
  <c r="I161" i="1"/>
  <c r="I153" i="1"/>
  <c r="I145" i="1"/>
  <c r="I137" i="1"/>
  <c r="I129" i="1"/>
  <c r="I121" i="1"/>
  <c r="J147" i="1"/>
  <c r="J139" i="1"/>
  <c r="J131" i="1"/>
  <c r="J123" i="1"/>
  <c r="I134" i="1"/>
  <c r="I168" i="1"/>
  <c r="I160" i="1"/>
  <c r="I144" i="1"/>
  <c r="J170" i="1"/>
  <c r="J162" i="1"/>
  <c r="J154" i="1"/>
  <c r="J146" i="1"/>
  <c r="J138" i="1"/>
</calcChain>
</file>

<file path=xl/sharedStrings.xml><?xml version="1.0" encoding="utf-8"?>
<sst xmlns="http://schemas.openxmlformats.org/spreadsheetml/2006/main" count="1316" uniqueCount="185">
  <si>
    <t>Replica</t>
  </si>
  <si>
    <t>CAT_tent (mDO/min)</t>
  </si>
  <si>
    <t>CAT_pie (mDO/min)</t>
  </si>
  <si>
    <t>NA</t>
  </si>
  <si>
    <t>n muestra</t>
  </si>
  <si>
    <t>DTD_tent (mDO/min)</t>
  </si>
  <si>
    <t>DTD_pie (mDO/min)</t>
  </si>
  <si>
    <t>control</t>
  </si>
  <si>
    <t>GST_tent (mDO/min)</t>
  </si>
  <si>
    <t>GST_pie (mDO/min)</t>
  </si>
  <si>
    <t>SOD</t>
  </si>
  <si>
    <t>G6PDH</t>
  </si>
  <si>
    <t>TEAC</t>
  </si>
  <si>
    <t>MDA</t>
  </si>
  <si>
    <t>GR_tent (DO/min)</t>
  </si>
  <si>
    <t>GR_pie (DO/min)</t>
  </si>
  <si>
    <t>SOD_tent (mDO/min)</t>
  </si>
  <si>
    <t>SOD_pie (mDO/min)</t>
  </si>
  <si>
    <t>G6PDH_tent</t>
  </si>
  <si>
    <t>G6PDH_pie</t>
  </si>
  <si>
    <t>GPx_tent (DO/min)</t>
  </si>
  <si>
    <t>GPx_pie (DO/min)</t>
  </si>
  <si>
    <t>n_muestra</t>
  </si>
  <si>
    <t>CAT_tent</t>
  </si>
  <si>
    <t>CAT_pie</t>
  </si>
  <si>
    <t>DTD_tent</t>
  </si>
  <si>
    <t>DTD_pie</t>
  </si>
  <si>
    <t>GST_tent</t>
  </si>
  <si>
    <t>GST_pie</t>
  </si>
  <si>
    <t>GR_tent</t>
  </si>
  <si>
    <t>GR_pie</t>
  </si>
  <si>
    <t>SOD_tent</t>
  </si>
  <si>
    <t>SOD_pie</t>
  </si>
  <si>
    <t>GPx_tent</t>
  </si>
  <si>
    <t>GPx_pie</t>
  </si>
  <si>
    <t>TEAC_tent</t>
  </si>
  <si>
    <t>TEAC_pie</t>
  </si>
  <si>
    <t>MDA_tent</t>
  </si>
  <si>
    <t>MDA_pie</t>
  </si>
  <si>
    <t>Playa</t>
  </si>
  <si>
    <t>Corte</t>
  </si>
  <si>
    <t>Madurez</t>
  </si>
  <si>
    <t>Calahonda</t>
  </si>
  <si>
    <t>No</t>
  </si>
  <si>
    <t>Almuñecar</t>
  </si>
  <si>
    <t>Cultivo</t>
  </si>
  <si>
    <t>Salobreña</t>
  </si>
  <si>
    <t>Sí</t>
  </si>
  <si>
    <t>-</t>
  </si>
  <si>
    <t>CAT</t>
  </si>
  <si>
    <t>GPx</t>
  </si>
  <si>
    <t>GR</t>
  </si>
  <si>
    <t>GST</t>
  </si>
  <si>
    <t>DTD</t>
  </si>
  <si>
    <t>usamos 30 uL</t>
  </si>
  <si>
    <t>usamos 20 uL</t>
  </si>
  <si>
    <t xml:space="preserve"> tentaculo 20 pie 10</t>
  </si>
  <si>
    <t>5*</t>
  </si>
  <si>
    <t>20**</t>
  </si>
  <si>
    <t>CAT_pie (U/ml)</t>
  </si>
  <si>
    <t xml:space="preserve">d = </t>
  </si>
  <si>
    <t>vt =</t>
  </si>
  <si>
    <t>ve =</t>
  </si>
  <si>
    <t>ext =</t>
  </si>
  <si>
    <t>f =</t>
  </si>
  <si>
    <t>DTD_tent (U/mL)</t>
  </si>
  <si>
    <t>DTD_pie (U/mL)</t>
  </si>
  <si>
    <t>CAT_tent (U/ml)</t>
  </si>
  <si>
    <t>muestra</t>
  </si>
  <si>
    <t>PROMEDIO CONTROL</t>
  </si>
  <si>
    <t>GST_tent (U/mL)</t>
  </si>
  <si>
    <t>GST_pie (U/mL)</t>
  </si>
  <si>
    <t>playa</t>
  </si>
  <si>
    <t>corte</t>
  </si>
  <si>
    <t>madurez</t>
  </si>
  <si>
    <t>cultivo</t>
  </si>
  <si>
    <t>T</t>
  </si>
  <si>
    <t>F</t>
  </si>
  <si>
    <t>GR_tent (U/mL)</t>
  </si>
  <si>
    <t>GR_pie (U/mL)</t>
  </si>
  <si>
    <t>GPx_tent (U/mL)</t>
  </si>
  <si>
    <t>GPx_pie (U/mL)</t>
  </si>
  <si>
    <t>gpx sin control</t>
  </si>
  <si>
    <t>SOD_tent (U/mL)</t>
  </si>
  <si>
    <t>SOD_pie (mU/mL)</t>
  </si>
  <si>
    <t>% inhb sod</t>
  </si>
  <si>
    <t>pie</t>
  </si>
  <si>
    <t>Absorbancia</t>
  </si>
  <si>
    <t>Patron Pie 1-40</t>
  </si>
  <si>
    <t>Concentracion (umol/L)</t>
  </si>
  <si>
    <t>Corregida</t>
  </si>
  <si>
    <t>Patron Tentaculo 1-40</t>
  </si>
  <si>
    <t>Patron Mixto 41-51</t>
  </si>
  <si>
    <t>y = a*x + b</t>
  </si>
  <si>
    <t>a =</t>
  </si>
  <si>
    <t>b=</t>
  </si>
  <si>
    <t>replica</t>
  </si>
  <si>
    <t>abs tent</t>
  </si>
  <si>
    <t>trolox eq uM</t>
  </si>
  <si>
    <t>abs pie</t>
  </si>
  <si>
    <t>corregida</t>
  </si>
  <si>
    <t>x = (y-b)/a</t>
  </si>
  <si>
    <t>individuo</t>
  </si>
  <si>
    <t>tejido</t>
  </si>
  <si>
    <t>Tentaculo</t>
  </si>
  <si>
    <t>Pie</t>
  </si>
  <si>
    <t>CAT_DO</t>
  </si>
  <si>
    <t>DTD_DO</t>
  </si>
  <si>
    <t>GST_DO</t>
  </si>
  <si>
    <t>GR_DO</t>
  </si>
  <si>
    <t>GPx_DO</t>
  </si>
  <si>
    <t>SOD_DO</t>
  </si>
  <si>
    <t>G6PDH_DO</t>
  </si>
  <si>
    <t>proteina/ml</t>
  </si>
  <si>
    <t>Concentrations</t>
  </si>
  <si>
    <t>Mean</t>
  </si>
  <si>
    <t>BRADFORD TENT</t>
  </si>
  <si>
    <t>BRADFORD PIE</t>
  </si>
  <si>
    <t>proteina_tent</t>
  </si>
  <si>
    <t>proteina_pie</t>
  </si>
  <si>
    <t>mg/ml_pie</t>
  </si>
  <si>
    <t>mg/ml_tent</t>
  </si>
  <si>
    <t>n</t>
  </si>
  <si>
    <t>media</t>
  </si>
  <si>
    <t>Abs CAT_pie</t>
  </si>
  <si>
    <t>Abs SOD_tent</t>
  </si>
  <si>
    <t>Abs SOD_pie</t>
  </si>
  <si>
    <t>Abs GPx_tent</t>
  </si>
  <si>
    <t>Abs GPx_pie</t>
  </si>
  <si>
    <t>Abs GR_tent</t>
  </si>
  <si>
    <t>Abs GR_pie</t>
  </si>
  <si>
    <t>Abs GST_tent</t>
  </si>
  <si>
    <t>Abs GST_pie</t>
  </si>
  <si>
    <t>Abs DTD_tent</t>
  </si>
  <si>
    <t>Abs DTD_pie</t>
  </si>
  <si>
    <t>Abs G6PDH_tent</t>
  </si>
  <si>
    <t>Abs G6PDH_pie</t>
  </si>
  <si>
    <t>-control</t>
  </si>
  <si>
    <t>Abs</t>
  </si>
  <si>
    <t>Conc</t>
  </si>
  <si>
    <t>y=a*x+b</t>
  </si>
  <si>
    <t>a=</t>
  </si>
  <si>
    <t>Abs tent</t>
  </si>
  <si>
    <t>Conc tent</t>
  </si>
  <si>
    <t>Abs_pie</t>
  </si>
  <si>
    <t>Conc pie</t>
  </si>
  <si>
    <t>GPX</t>
  </si>
  <si>
    <t>prot</t>
  </si>
  <si>
    <t>Datos para exportar</t>
  </si>
  <si>
    <t>Abs CAT_tent (DO/min)</t>
  </si>
  <si>
    <t>c. extincion =</t>
  </si>
  <si>
    <t>SOD_DO/min</t>
  </si>
  <si>
    <t>GPx_DO/min</t>
  </si>
  <si>
    <t>GR_DO/min</t>
  </si>
  <si>
    <t>GST_DO/min</t>
  </si>
  <si>
    <t>G6PDH_DO/min</t>
  </si>
  <si>
    <t>% inhibicion</t>
  </si>
  <si>
    <t>media control =</t>
  </si>
  <si>
    <t>SOD final</t>
  </si>
  <si>
    <t>CAT final</t>
  </si>
  <si>
    <t>GPx final</t>
  </si>
  <si>
    <t>GR final</t>
  </si>
  <si>
    <t>tent</t>
  </si>
  <si>
    <t>GST final</t>
  </si>
  <si>
    <t>DTD final</t>
  </si>
  <si>
    <t>G6PDH final</t>
  </si>
  <si>
    <t>corregido (mg/ml)</t>
  </si>
  <si>
    <t>CAT_m U DO/min</t>
  </si>
  <si>
    <t>/1000</t>
  </si>
  <si>
    <t>U/ mg proteina</t>
  </si>
  <si>
    <t>GPx mU</t>
  </si>
  <si>
    <t>GR mU</t>
  </si>
  <si>
    <t>m U/ml</t>
  </si>
  <si>
    <t>m U/mg prot</t>
  </si>
  <si>
    <t>DTD_mDO/min</t>
  </si>
  <si>
    <t>*1000</t>
  </si>
  <si>
    <t>DO/min</t>
  </si>
  <si>
    <t>m U/ mg prot</t>
  </si>
  <si>
    <t>U/ mg prot</t>
  </si>
  <si>
    <t>mU /mg prot</t>
  </si>
  <si>
    <t xml:space="preserve">G6PDH </t>
  </si>
  <si>
    <t>Volumen solución (μl)</t>
  </si>
  <si>
    <t>Volumen extracto (μl)</t>
  </si>
  <si>
    <t>Volumen sustrato (μl)</t>
  </si>
  <si>
    <t>* Se disparó la reacción con XOD, no con sustrato  ** El extracto se mezcló con 10 μl de albúmina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</si>
</sst>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"/>
  </numFmts>
  <fonts count="9" x14ac:knownFonts="1">
    <font>
      <sz val="11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B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7" borderId="0" xfId="0" applyFont="1" applyFill="1"/>
    <xf numFmtId="0" fontId="0" fillId="7" borderId="0" xfId="0" applyFill="1"/>
    <xf numFmtId="0" fontId="2" fillId="8" borderId="0" xfId="0" applyFont="1" applyFill="1" applyAlignment="1">
      <alignment horizontal="left"/>
    </xf>
    <xf numFmtId="0" fontId="0" fillId="8" borderId="0" xfId="0" applyFill="1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164" fontId="0" fillId="0" borderId="0" xfId="0" applyNumberFormat="1"/>
    <xf numFmtId="0" fontId="0" fillId="0" borderId="0" xfId="0" applyAlignment="1">
      <alignment horizontal="left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6" fillId="0" borderId="8" xfId="0" applyFont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7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" fillId="14" borderId="4" xfId="0" applyFont="1" applyFill="1" applyBorder="1" applyAlignment="1">
      <alignment horizontal="center" vertical="center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9" borderId="0" xfId="0" quotePrefix="1" applyFill="1"/>
    <xf numFmtId="0" fontId="7" fillId="0" borderId="0" xfId="0" applyFont="1" applyAlignment="1">
      <alignment horizontal="center" vertical="center"/>
    </xf>
    <xf numFmtId="0" fontId="0" fillId="8" borderId="0" xfId="0" quotePrefix="1" applyFill="1"/>
    <xf numFmtId="0" fontId="2" fillId="0" borderId="0" xfId="0" applyFont="1" applyAlignme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164" fontId="0" fillId="18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2" fontId="2" fillId="4" borderId="0" xfId="0" applyNumberFormat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106">
    <dxf>
      <font>
        <b val="0"/>
        <i/>
        <strike val="0"/>
        <color theme="2" tint="-0.24994659260841701"/>
      </font>
    </dxf>
    <dxf>
      <font>
        <strike/>
        <color rgb="FFC0000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/>
        <color rgb="FFC00000"/>
      </font>
    </dxf>
  </dxfs>
  <tableStyles count="0" defaultTableStyle="TableStyleMedium2" defaultPivotStyle="PivotStyleLight16"/>
  <colors>
    <mruColors>
      <color rgb="FFE1FBF3"/>
      <color rgb="FFFFCCFF"/>
      <color rgb="FFCCFF66"/>
      <color rgb="FFCC99FF"/>
      <color rgb="FFBBF7E4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'TEAC PATRON'!$B$3:$B$18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'TEAC PATRON'!$D$3:$D$18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B7-4064-B799-455C19E2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'TEAC PATRON'!$B$23:$B$38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'TEAC PATRON'!$D$23:$D$38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C7A-4E1F-AEB1-2E29BD64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'TEAC PATRON'!$B$43:$B$58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'TEAC PATRON'!$D$43:$D$58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3-40C8-8C2E-C19B03DCE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'MDA PATRON'!$C$3:$C$11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'MDA PATRON'!$B$3:$B$11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7-4980-A62F-E3B930A5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E0709C-1CE7-0DA6-BCE5-2B63C0B3C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DC34DB-8210-49D2-BCCA-047A5163F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EC1AA5-F69E-4460-89A7-231DA64C3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A954C-462E-B855-852D-042D97F33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11</xdr:col>
      <xdr:colOff>539750</xdr:colOff>
      <xdr:row>16</xdr:row>
      <xdr:rowOff>12700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35A7DA6-1C17-A1DA-8B07-94C32640B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2038350"/>
          <a:ext cx="63182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2988-04CF-4563-ACB9-FC000D3FFDB8}">
  <dimension ref="A1:AU235"/>
  <sheetViews>
    <sheetView topLeftCell="P1" zoomScale="85" zoomScaleNormal="85" workbookViewId="0">
      <pane ySplit="1" topLeftCell="A88" activePane="bottomLeft" state="frozen"/>
      <selection pane="bottomLeft" activeCell="AF107" sqref="AF107:AF108"/>
    </sheetView>
  </sheetViews>
  <sheetFormatPr baseColWidth="10" defaultRowHeight="14.5" x14ac:dyDescent="0.35"/>
  <cols>
    <col min="1" max="1" width="5.36328125" style="29" customWidth="1"/>
    <col min="2" max="2" width="12" bestFit="1" customWidth="1"/>
    <col min="3" max="3" width="9.453125" bestFit="1" customWidth="1"/>
    <col min="4" max="4" width="11.1796875" bestFit="1" customWidth="1"/>
    <col min="5" max="5" width="8.453125" bestFit="1" customWidth="1"/>
    <col min="6" max="6" width="12.26953125" bestFit="1" customWidth="1"/>
    <col min="7" max="7" width="7.81640625" bestFit="1" customWidth="1"/>
    <col min="8" max="8" width="11.453125" bestFit="1" customWidth="1"/>
    <col min="9" max="9" width="8.81640625" bestFit="1" customWidth="1"/>
    <col min="10" max="10" width="11.90625" bestFit="1" customWidth="1"/>
    <col min="11" max="11" width="8.453125" bestFit="1" customWidth="1"/>
    <col min="12" max="12" width="8.453125" customWidth="1"/>
    <col min="13" max="13" width="11.08984375" bestFit="1" customWidth="1"/>
    <col min="14" max="14" width="8.453125" bestFit="1" customWidth="1"/>
    <col min="15" max="15" width="8.453125" customWidth="1"/>
    <col min="16" max="16" width="11.08984375" bestFit="1" customWidth="1"/>
    <col min="17" max="17" width="9.453125" bestFit="1" customWidth="1"/>
    <col min="18" max="18" width="10.26953125" bestFit="1" customWidth="1"/>
    <col min="19" max="19" width="10.453125" bestFit="1" customWidth="1"/>
    <col min="20" max="20" width="11.90625" bestFit="1" customWidth="1"/>
    <col min="21" max="21" width="8.81640625" bestFit="1" customWidth="1"/>
    <col min="22" max="22" width="11.08984375" bestFit="1" customWidth="1"/>
    <col min="23" max="23" width="7.81640625" bestFit="1" customWidth="1"/>
    <col min="24" max="24" width="12.26953125" bestFit="1" customWidth="1"/>
    <col min="25" max="25" width="8.453125" bestFit="1" customWidth="1"/>
    <col min="26" max="26" width="8.453125" customWidth="1"/>
    <col min="27" max="27" width="11.453125" bestFit="1" customWidth="1"/>
    <col min="28" max="28" width="8.453125" bestFit="1" customWidth="1"/>
    <col min="29" max="29" width="8.453125" customWidth="1"/>
    <col min="30" max="30" width="14.54296875" bestFit="1" customWidth="1"/>
    <col min="32" max="32" width="13.7265625" bestFit="1" customWidth="1"/>
    <col min="34" max="34" width="9.453125" bestFit="1" customWidth="1"/>
    <col min="35" max="35" width="9.453125" customWidth="1"/>
    <col min="36" max="36" width="8.6328125" bestFit="1" customWidth="1"/>
    <col min="37" max="37" width="8.6328125" customWidth="1"/>
    <col min="38" max="38" width="12.26953125" bestFit="1" customWidth="1"/>
    <col min="41" max="41" width="11.453125" bestFit="1" customWidth="1"/>
    <col min="44" max="44" width="9.36328125" bestFit="1" customWidth="1"/>
    <col min="46" max="46" width="8.54296875" bestFit="1" customWidth="1"/>
  </cols>
  <sheetData>
    <row r="1" spans="1:47" x14ac:dyDescent="0.35">
      <c r="A1" s="12" t="s">
        <v>122</v>
      </c>
      <c r="B1" s="1" t="s">
        <v>149</v>
      </c>
      <c r="C1" s="1" t="s">
        <v>123</v>
      </c>
      <c r="D1" s="1" t="s">
        <v>124</v>
      </c>
      <c r="E1" s="1" t="s">
        <v>123</v>
      </c>
      <c r="F1" s="6" t="s">
        <v>125</v>
      </c>
      <c r="G1" s="6" t="s">
        <v>123</v>
      </c>
      <c r="H1" s="6" t="s">
        <v>126</v>
      </c>
      <c r="I1" s="6" t="s">
        <v>123</v>
      </c>
      <c r="J1" s="16" t="s">
        <v>127</v>
      </c>
      <c r="K1" s="16" t="s">
        <v>123</v>
      </c>
      <c r="L1" s="73" t="s">
        <v>137</v>
      </c>
      <c r="M1" s="16" t="s">
        <v>128</v>
      </c>
      <c r="N1" s="16" t="s">
        <v>123</v>
      </c>
      <c r="O1" s="73" t="s">
        <v>137</v>
      </c>
      <c r="P1" s="4" t="s">
        <v>129</v>
      </c>
      <c r="Q1" s="4" t="s">
        <v>123</v>
      </c>
      <c r="R1" s="4" t="s">
        <v>130</v>
      </c>
      <c r="S1" s="4" t="s">
        <v>123</v>
      </c>
      <c r="T1" s="3" t="s">
        <v>131</v>
      </c>
      <c r="U1" s="3" t="s">
        <v>123</v>
      </c>
      <c r="V1" s="3" t="s">
        <v>132</v>
      </c>
      <c r="W1" s="3" t="s">
        <v>123</v>
      </c>
      <c r="X1" s="30" t="s">
        <v>133</v>
      </c>
      <c r="Y1" s="30" t="s">
        <v>123</v>
      </c>
      <c r="Z1" s="71" t="s">
        <v>137</v>
      </c>
      <c r="AA1" s="30" t="s">
        <v>134</v>
      </c>
      <c r="AB1" s="30" t="s">
        <v>123</v>
      </c>
      <c r="AC1" s="71" t="s">
        <v>137</v>
      </c>
      <c r="AD1" s="14" t="s">
        <v>135</v>
      </c>
      <c r="AE1" s="14" t="s">
        <v>123</v>
      </c>
      <c r="AF1" s="14" t="s">
        <v>136</v>
      </c>
      <c r="AG1" s="14" t="s">
        <v>123</v>
      </c>
      <c r="AH1" s="68" t="s">
        <v>35</v>
      </c>
      <c r="AI1" s="68" t="s">
        <v>123</v>
      </c>
      <c r="AJ1" s="68" t="s">
        <v>36</v>
      </c>
      <c r="AK1" s="68" t="s">
        <v>123</v>
      </c>
      <c r="AL1" s="69" t="s">
        <v>118</v>
      </c>
      <c r="AM1" s="69" t="s">
        <v>123</v>
      </c>
      <c r="AN1" s="69" t="s">
        <v>166</v>
      </c>
      <c r="AO1" s="69" t="s">
        <v>119</v>
      </c>
      <c r="AP1" s="69" t="s">
        <v>123</v>
      </c>
      <c r="AQ1" s="69" t="s">
        <v>166</v>
      </c>
      <c r="AR1" s="70" t="s">
        <v>37</v>
      </c>
      <c r="AS1" s="70" t="s">
        <v>123</v>
      </c>
      <c r="AT1" s="70" t="s">
        <v>38</v>
      </c>
      <c r="AU1" s="70" t="s">
        <v>123</v>
      </c>
    </row>
    <row r="2" spans="1:47" x14ac:dyDescent="0.35">
      <c r="A2" s="88">
        <v>1</v>
      </c>
      <c r="B2" s="52">
        <v>-13.295999999999999</v>
      </c>
      <c r="C2" s="89">
        <f>AVERAGE(B2:B3)</f>
        <v>-10.7897</v>
      </c>
      <c r="D2" s="52">
        <v>-12.712999999999999</v>
      </c>
      <c r="E2" s="89">
        <f>AVERAGE(D2:D3)</f>
        <v>-11.738</v>
      </c>
      <c r="F2" s="52">
        <v>6.5873999999999997</v>
      </c>
      <c r="G2" s="89">
        <f>AVERAGE(F2:F3)</f>
        <v>7.2313000000000001</v>
      </c>
      <c r="H2" s="52">
        <v>8.4238999999999997</v>
      </c>
      <c r="I2" s="89">
        <f>AVERAGE(H2:H3)</f>
        <v>7.42875</v>
      </c>
      <c r="J2" s="52">
        <v>-8.4190000000000001E-2</v>
      </c>
      <c r="K2" s="89">
        <f>AVERAGE(J2:J3)</f>
        <v>-8.4190000000000001E-2</v>
      </c>
      <c r="L2" s="89">
        <f>K2-'Hoja en sucio'!$W$117</f>
        <v>4.9528571428571616E-3</v>
      </c>
      <c r="M2" s="52">
        <v>-7.8E-2</v>
      </c>
      <c r="N2" s="89">
        <f>AVERAGE(M2:M3)</f>
        <v>-7.8E-2</v>
      </c>
      <c r="O2" s="89">
        <f>N2-'Hoja en sucio'!$W$117</f>
        <v>1.1142857142857163E-2</v>
      </c>
      <c r="P2" s="52">
        <v>-3.1559999999999998E-2</v>
      </c>
      <c r="Q2" s="89">
        <f>AVERAGE(P2:P3)</f>
        <v>-3.0649999999999997E-2</v>
      </c>
      <c r="R2" s="52">
        <v>-3.1600000000000003E-2</v>
      </c>
      <c r="S2" s="89">
        <f>AVERAGE(R2:R3)</f>
        <v>-2.1445000000000002E-2</v>
      </c>
      <c r="T2" s="52">
        <v>18.062999999999999</v>
      </c>
      <c r="U2" s="89">
        <f>AVERAGE(T2:T3)</f>
        <v>17.908000000000001</v>
      </c>
      <c r="V2" s="52">
        <v>6.5250000000000004</v>
      </c>
      <c r="W2" s="89">
        <f>AVERAGE(V2:V3)</f>
        <v>5.1715999999999998</v>
      </c>
      <c r="X2" s="52">
        <v>-14.14</v>
      </c>
      <c r="Y2" s="89">
        <f>AVERAGE(X2:X3)</f>
        <v>-15.112</v>
      </c>
      <c r="Z2" s="89">
        <f>Y2-'Hoja en sucio'!$G$114</f>
        <v>-4.0467500000000012</v>
      </c>
      <c r="AA2" s="52">
        <v>-16.452999999999999</v>
      </c>
      <c r="AB2" s="89">
        <f>AVERAGE(AA2:AA3)</f>
        <v>-17.974499999999999</v>
      </c>
      <c r="AC2" s="89">
        <f>AB2-'Hoja en sucio'!$H$114</f>
        <v>-6.9092500000000001</v>
      </c>
      <c r="AD2" s="52">
        <v>3.6090000000000002E-3</v>
      </c>
      <c r="AE2" s="89">
        <f>AVERAGE(AD2:AD3)</f>
        <v>3.6090000000000002E-3</v>
      </c>
      <c r="AF2" s="52">
        <v>4.1740000000000006E-3</v>
      </c>
      <c r="AG2" s="89">
        <f>AVERAGE(AF2:AF3)</f>
        <v>4.1950000000000008E-3</v>
      </c>
      <c r="AH2" s="52">
        <v>780.74999999999989</v>
      </c>
      <c r="AI2" s="89">
        <f>AVERAGE(AH2:AH3)</f>
        <v>860.74999999999989</v>
      </c>
      <c r="AJ2" s="52">
        <v>640.39999999999986</v>
      </c>
      <c r="AK2" s="89">
        <f>AVERAGE(AJ2:AJ3)</f>
        <v>646.39999999999986</v>
      </c>
      <c r="AL2" s="52">
        <v>0.26900000000000002</v>
      </c>
      <c r="AM2" s="89">
        <f>AVERAGE(AL2:AL3)</f>
        <v>0.27549999999999997</v>
      </c>
      <c r="AN2" s="89">
        <f>30*AM2</f>
        <v>8.2649999999999988</v>
      </c>
      <c r="AO2" s="52">
        <v>0.186</v>
      </c>
      <c r="AP2" s="89">
        <f>AVERAGE(AO2:AO3)</f>
        <v>0.20150000000000001</v>
      </c>
      <c r="AQ2" s="89">
        <f>30*AP2</f>
        <v>6.0449999999999999</v>
      </c>
      <c r="AR2" s="52">
        <v>29.768953068592062</v>
      </c>
      <c r="AS2" s="89">
        <f>AVERAGE(AR2:AR3)</f>
        <v>28.685920577617331</v>
      </c>
      <c r="AT2" s="52">
        <v>25.737665463297233</v>
      </c>
      <c r="AU2" s="89">
        <f>AVERAGE(AT2:AT3)</f>
        <v>26.399518652226234</v>
      </c>
    </row>
    <row r="3" spans="1:47" x14ac:dyDescent="0.35">
      <c r="A3" s="88"/>
      <c r="B3" s="52">
        <v>-8.2834000000000003</v>
      </c>
      <c r="C3" s="89"/>
      <c r="D3" s="52">
        <v>-10.763</v>
      </c>
      <c r="E3" s="89"/>
      <c r="F3" s="52">
        <v>7.8752000000000004</v>
      </c>
      <c r="G3" s="89"/>
      <c r="H3" s="52">
        <v>6.4336000000000002</v>
      </c>
      <c r="I3" s="89"/>
      <c r="J3" s="52" t="s">
        <v>3</v>
      </c>
      <c r="K3" s="89"/>
      <c r="L3" s="89"/>
      <c r="M3" s="52" t="s">
        <v>3</v>
      </c>
      <c r="N3" s="89"/>
      <c r="O3" s="89"/>
      <c r="P3" s="52">
        <v>-2.9739999999999999E-2</v>
      </c>
      <c r="Q3" s="89"/>
      <c r="R3" s="52">
        <v>-1.129E-2</v>
      </c>
      <c r="S3" s="89"/>
      <c r="T3" s="52">
        <v>17.753</v>
      </c>
      <c r="U3" s="89"/>
      <c r="V3" s="52">
        <v>3.8182</v>
      </c>
      <c r="W3" s="89"/>
      <c r="X3" s="52">
        <v>-16.084</v>
      </c>
      <c r="Y3" s="89"/>
      <c r="Z3" s="89"/>
      <c r="AA3" s="52">
        <v>-19.495999999999999</v>
      </c>
      <c r="AB3" s="89"/>
      <c r="AC3" s="89"/>
      <c r="AD3" s="52"/>
      <c r="AE3" s="89"/>
      <c r="AF3" s="52">
        <v>4.2160000000000001E-3</v>
      </c>
      <c r="AG3" s="89"/>
      <c r="AH3" s="52">
        <v>940.74999999999989</v>
      </c>
      <c r="AI3" s="89"/>
      <c r="AJ3" s="52">
        <v>652.39999999999986</v>
      </c>
      <c r="AK3" s="89"/>
      <c r="AL3" s="52">
        <v>0.28199999999999997</v>
      </c>
      <c r="AM3" s="89"/>
      <c r="AN3" s="89"/>
      <c r="AO3" s="52">
        <v>0.217</v>
      </c>
      <c r="AP3" s="89"/>
      <c r="AQ3" s="89"/>
      <c r="AR3" s="52">
        <v>27.602888086642601</v>
      </c>
      <c r="AS3" s="89"/>
      <c r="AT3" s="52">
        <v>27.061371841155236</v>
      </c>
      <c r="AU3" s="89"/>
    </row>
    <row r="4" spans="1:47" x14ac:dyDescent="0.35">
      <c r="A4" s="88">
        <v>2</v>
      </c>
      <c r="B4" s="52">
        <v>-6.3087999999999997</v>
      </c>
      <c r="C4" s="89">
        <f>AVERAGE(B4:B5)</f>
        <v>-5.3513500000000001</v>
      </c>
      <c r="D4" s="52">
        <v>-12.958</v>
      </c>
      <c r="E4" s="89">
        <f t="shared" ref="E4" si="0">AVERAGE(D4:D5)</f>
        <v>-13.102</v>
      </c>
      <c r="F4" s="52">
        <v>7.7622</v>
      </c>
      <c r="G4" s="89">
        <f t="shared" ref="G4" si="1">AVERAGE(F4:F5)</f>
        <v>7.9558499999999999</v>
      </c>
      <c r="H4" s="52">
        <v>7.1006</v>
      </c>
      <c r="I4" s="89">
        <f t="shared" ref="I4" si="2">AVERAGE(H4:H5)</f>
        <v>7.4959500000000006</v>
      </c>
      <c r="J4" s="52">
        <v>-0.14030000000000001</v>
      </c>
      <c r="K4" s="89">
        <f t="shared" ref="K4:N4" si="3">AVERAGE(J4:J5)</f>
        <v>-0.14030000000000001</v>
      </c>
      <c r="L4" s="89">
        <f>K4-'Hoja en sucio'!$W$117</f>
        <v>-5.1157142857142845E-2</v>
      </c>
      <c r="M4" s="52">
        <v>-0.1956</v>
      </c>
      <c r="N4" s="89">
        <f t="shared" si="3"/>
        <v>-0.1956</v>
      </c>
      <c r="O4" s="89">
        <f>N4-'Hoja en sucio'!$W$117</f>
        <v>-0.10645714285714283</v>
      </c>
      <c r="P4" s="52">
        <v>-2.0840000000000001E-2</v>
      </c>
      <c r="Q4" s="89">
        <f t="shared" ref="Q4:S4" si="4">AVERAGE(P4:P5)</f>
        <v>-2.4274999999999998E-2</v>
      </c>
      <c r="R4" s="52">
        <v>-2.2290000000000001E-2</v>
      </c>
      <c r="S4" s="89">
        <f t="shared" si="4"/>
        <v>-1.8419999999999999E-2</v>
      </c>
      <c r="T4" s="52">
        <v>11.154</v>
      </c>
      <c r="U4" s="89">
        <f t="shared" ref="U4" si="5">AVERAGE(T4:T5)</f>
        <v>11.346499999999999</v>
      </c>
      <c r="V4" s="52">
        <v>8.3734999999999999</v>
      </c>
      <c r="W4" s="89">
        <f t="shared" ref="W4" si="6">AVERAGE(V4:V5)</f>
        <v>7.1029499999999999</v>
      </c>
      <c r="X4" s="52">
        <v>-13.217000000000001</v>
      </c>
      <c r="Y4" s="89">
        <f t="shared" ref="Y4" si="7">AVERAGE(X4:X5)</f>
        <v>-14.343</v>
      </c>
      <c r="Z4" s="89">
        <f>Y4-'Hoja en sucio'!$G$114</f>
        <v>-3.2777500000000011</v>
      </c>
      <c r="AA4" s="52">
        <v>-22.640999999999998</v>
      </c>
      <c r="AB4" s="89">
        <f t="shared" ref="AB4" si="8">AVERAGE(AA4:AA5)</f>
        <v>-22.651</v>
      </c>
      <c r="AC4" s="89">
        <f>AB4-'Hoja en sucio'!$H$114</f>
        <v>-11.585750000000001</v>
      </c>
      <c r="AD4" s="52">
        <v>5.8650000000000004E-3</v>
      </c>
      <c r="AE4" s="89">
        <f t="shared" ref="AE4" si="9">AVERAGE(AD4:AD5)</f>
        <v>5.8650000000000004E-3</v>
      </c>
      <c r="AF4" s="52">
        <v>5.3370000000000001E-2</v>
      </c>
      <c r="AG4" s="89">
        <f t="shared" ref="AG4:AI4" si="10">AVERAGE(AF4:AF5)</f>
        <v>4.8979999999999996E-2</v>
      </c>
      <c r="AH4" s="52">
        <v>880.74999999999977</v>
      </c>
      <c r="AI4" s="89">
        <f t="shared" si="10"/>
        <v>578.24999999999977</v>
      </c>
      <c r="AJ4" s="52">
        <v>624.39999999999986</v>
      </c>
      <c r="AK4" s="89">
        <f t="shared" ref="AK4" si="11">AVERAGE(AJ4:AJ5)</f>
        <v>608.39999999999986</v>
      </c>
      <c r="AL4" s="52">
        <v>0.17599999999999999</v>
      </c>
      <c r="AM4" s="89">
        <f t="shared" ref="AM4" si="12">AVERAGE(AL4:AL5)</f>
        <v>0.1905</v>
      </c>
      <c r="AN4" s="89">
        <f t="shared" ref="AN4" si="13">30*AM4</f>
        <v>5.7149999999999999</v>
      </c>
      <c r="AO4" s="52">
        <v>0.32400000000000001</v>
      </c>
      <c r="AP4" s="89">
        <f t="shared" ref="AP4" si="14">AVERAGE(AO4:AO5)</f>
        <v>0.34750000000000003</v>
      </c>
      <c r="AQ4" s="89">
        <f t="shared" ref="AQ4" si="15">30*AP4</f>
        <v>10.425000000000001</v>
      </c>
      <c r="AR4" s="52">
        <v>25.918170878459691</v>
      </c>
      <c r="AS4" s="89">
        <f t="shared" ref="AS4" si="16">AVERAGE(AR4:AR5)</f>
        <v>24.985559566787003</v>
      </c>
      <c r="AT4" s="52">
        <v>66.351383874849574</v>
      </c>
      <c r="AU4" s="89">
        <f t="shared" ref="AU4" si="17">AVERAGE(AT4:AT5)</f>
        <v>66.953068592057761</v>
      </c>
    </row>
    <row r="5" spans="1:47" x14ac:dyDescent="0.35">
      <c r="A5" s="88"/>
      <c r="B5" s="52">
        <v>-4.3939000000000004</v>
      </c>
      <c r="C5" s="89"/>
      <c r="D5" s="52">
        <v>-13.246</v>
      </c>
      <c r="E5" s="89"/>
      <c r="F5" s="52">
        <v>8.1494999999999997</v>
      </c>
      <c r="G5" s="89"/>
      <c r="H5" s="52">
        <v>7.8913000000000002</v>
      </c>
      <c r="I5" s="89"/>
      <c r="J5" s="52" t="s">
        <v>3</v>
      </c>
      <c r="K5" s="89"/>
      <c r="L5" s="89"/>
      <c r="M5" s="52" t="s">
        <v>3</v>
      </c>
      <c r="N5" s="89"/>
      <c r="O5" s="89"/>
      <c r="P5" s="52">
        <v>-2.7709999999999999E-2</v>
      </c>
      <c r="Q5" s="89"/>
      <c r="R5" s="52">
        <v>-1.455E-2</v>
      </c>
      <c r="S5" s="89"/>
      <c r="T5" s="52">
        <v>11.539</v>
      </c>
      <c r="U5" s="89"/>
      <c r="V5" s="52">
        <v>5.8323999999999998</v>
      </c>
      <c r="W5" s="89"/>
      <c r="X5" s="52">
        <v>-15.468999999999999</v>
      </c>
      <c r="Y5" s="89"/>
      <c r="Z5" s="89"/>
      <c r="AA5" s="52">
        <v>-22.661000000000001</v>
      </c>
      <c r="AB5" s="89"/>
      <c r="AC5" s="89"/>
      <c r="AD5" s="52"/>
      <c r="AE5" s="89"/>
      <c r="AF5" s="52">
        <v>4.4589999999999998E-2</v>
      </c>
      <c r="AG5" s="89"/>
      <c r="AH5" s="72">
        <v>275.74999999999989</v>
      </c>
      <c r="AI5" s="89"/>
      <c r="AJ5" s="52">
        <v>592.39999999999975</v>
      </c>
      <c r="AK5" s="89"/>
      <c r="AL5" s="52">
        <v>0.20499999999999999</v>
      </c>
      <c r="AM5" s="89"/>
      <c r="AN5" s="89"/>
      <c r="AO5" s="52">
        <v>0.371</v>
      </c>
      <c r="AP5" s="89"/>
      <c r="AQ5" s="89"/>
      <c r="AR5" s="52">
        <v>24.05294825511432</v>
      </c>
      <c r="AS5" s="89"/>
      <c r="AT5" s="52">
        <v>67.554753309265948</v>
      </c>
      <c r="AU5" s="89"/>
    </row>
    <row r="6" spans="1:47" x14ac:dyDescent="0.35">
      <c r="A6" s="88">
        <v>3</v>
      </c>
      <c r="B6" s="52">
        <v>-7.5862999999999996</v>
      </c>
      <c r="C6" s="89">
        <f t="shared" ref="C6" si="18">AVERAGE(B6:B7)</f>
        <v>-7.3625999999999996</v>
      </c>
      <c r="D6" s="52">
        <v>-14.787000000000001</v>
      </c>
      <c r="E6" s="89">
        <f t="shared" ref="E6" si="19">AVERAGE(D6:D7)</f>
        <v>-15.212</v>
      </c>
      <c r="F6" s="52">
        <v>7.5823999999999998</v>
      </c>
      <c r="G6" s="89">
        <f t="shared" ref="G6" si="20">AVERAGE(F6:F7)</f>
        <v>8.4469500000000011</v>
      </c>
      <c r="H6" s="52">
        <v>8.7235999999999994</v>
      </c>
      <c r="I6" s="89">
        <f t="shared" ref="I6" si="21">AVERAGE(H6:H7)</f>
        <v>8.9126499999999993</v>
      </c>
      <c r="J6" s="52">
        <v>-0.14030000000000001</v>
      </c>
      <c r="K6" s="89">
        <f t="shared" ref="K6:N6" si="22">AVERAGE(J6:J7)</f>
        <v>-0.14030000000000001</v>
      </c>
      <c r="L6" s="89">
        <f>K6-'Hoja en sucio'!$W$117</f>
        <v>-5.1157142857142845E-2</v>
      </c>
      <c r="M6" s="52">
        <v>-5.6000000000000001E-2</v>
      </c>
      <c r="N6" s="89">
        <f t="shared" si="22"/>
        <v>-5.6000000000000001E-2</v>
      </c>
      <c r="O6" s="89">
        <f>N6-'Hoja en sucio'!$W$117</f>
        <v>3.3142857142857161E-2</v>
      </c>
      <c r="P6" s="52">
        <v>-1.7819999999999999E-2</v>
      </c>
      <c r="Q6" s="89">
        <f t="shared" ref="Q6:S6" si="23">AVERAGE(P6:P7)</f>
        <v>-1.9505000000000002E-2</v>
      </c>
      <c r="R6" s="52">
        <v>-1.8020000000000001E-2</v>
      </c>
      <c r="S6" s="89">
        <f t="shared" si="23"/>
        <v>-2.4324999999999999E-2</v>
      </c>
      <c r="T6" s="52">
        <v>16.332000000000001</v>
      </c>
      <c r="U6" s="89">
        <f t="shared" ref="U6" si="24">AVERAGE(T6:T7)</f>
        <v>15.070499999999999</v>
      </c>
      <c r="V6" s="52">
        <v>10.337</v>
      </c>
      <c r="W6" s="89">
        <f t="shared" ref="W6" si="25">AVERAGE(V6:V7)</f>
        <v>8.638300000000001</v>
      </c>
      <c r="X6" s="52">
        <v>-20.094999999999999</v>
      </c>
      <c r="Y6" s="89">
        <f t="shared" ref="Y6" si="26">AVERAGE(X6:X7)</f>
        <v>-19.622999999999998</v>
      </c>
      <c r="Z6" s="89">
        <f>Y6-'Hoja en sucio'!$G$114</f>
        <v>-8.5577499999999986</v>
      </c>
      <c r="AA6" s="52">
        <v>-19.204000000000001</v>
      </c>
      <c r="AB6" s="89">
        <f t="shared" ref="AB6" si="27">AVERAGE(AA6:AA7)</f>
        <v>-19.628999999999998</v>
      </c>
      <c r="AC6" s="89">
        <f>AB6-'Hoja en sucio'!$H$114</f>
        <v>-8.5637499999999989</v>
      </c>
      <c r="AD6" s="52">
        <v>1.6539999999999999E-3</v>
      </c>
      <c r="AE6" s="89">
        <f t="shared" ref="AE6" si="28">AVERAGE(AD6:AD7)</f>
        <v>1.6539999999999999E-3</v>
      </c>
      <c r="AF6" s="52">
        <v>4.1590000000000002E-2</v>
      </c>
      <c r="AG6" s="89">
        <f>AVERAGE(AF6:AF6)</f>
        <v>4.1590000000000002E-2</v>
      </c>
      <c r="AH6" s="52">
        <v>295.74999999999989</v>
      </c>
      <c r="AI6" s="89">
        <f t="shared" ref="AI6" si="29">AVERAGE(AH6:AH7)</f>
        <v>336.99999999999989</v>
      </c>
      <c r="AJ6" s="52">
        <v>600.39999999999986</v>
      </c>
      <c r="AK6" s="89">
        <f t="shared" ref="AK6" si="30">AVERAGE(AJ6:AJ7)</f>
        <v>634.39999999999986</v>
      </c>
      <c r="AL6" s="52">
        <v>0.16800000000000001</v>
      </c>
      <c r="AM6" s="89">
        <f t="shared" ref="AM6" si="31">AVERAGE(AL6:AL7)</f>
        <v>0.21350000000000002</v>
      </c>
      <c r="AN6" s="89">
        <f t="shared" ref="AN6" si="32">30*AM6</f>
        <v>6.4050000000000011</v>
      </c>
      <c r="AO6" s="52">
        <v>0.32700000000000001</v>
      </c>
      <c r="AP6" s="89">
        <f t="shared" ref="AP6" si="33">AVERAGE(AO6:AO7)</f>
        <v>0.34399999999999997</v>
      </c>
      <c r="AQ6" s="89">
        <f t="shared" ref="AQ6" si="34">30*AP6</f>
        <v>10.319999999999999</v>
      </c>
      <c r="AR6" s="52">
        <v>20.803850782190136</v>
      </c>
      <c r="AS6" s="89">
        <f t="shared" ref="AS6" si="35">AVERAGE(AR6:AR7)</f>
        <v>21.194945848375454</v>
      </c>
      <c r="AT6" s="52">
        <v>40.900120336943438</v>
      </c>
      <c r="AU6" s="89">
        <f t="shared" ref="AU6" si="36">AVERAGE(AT6:AT7)</f>
        <v>41.29121540312876</v>
      </c>
    </row>
    <row r="7" spans="1:47" x14ac:dyDescent="0.35">
      <c r="A7" s="88"/>
      <c r="B7" s="52">
        <v>-7.1388999999999996</v>
      </c>
      <c r="C7" s="89"/>
      <c r="D7" s="52">
        <v>-15.637</v>
      </c>
      <c r="E7" s="89"/>
      <c r="F7" s="52">
        <v>9.3115000000000006</v>
      </c>
      <c r="G7" s="89"/>
      <c r="H7" s="52">
        <v>9.1016999999999992</v>
      </c>
      <c r="I7" s="89"/>
      <c r="J7" s="52" t="s">
        <v>3</v>
      </c>
      <c r="K7" s="89"/>
      <c r="L7" s="89"/>
      <c r="M7" s="52" t="s">
        <v>3</v>
      </c>
      <c r="N7" s="89"/>
      <c r="O7" s="89"/>
      <c r="P7" s="52">
        <v>-2.1190000000000001E-2</v>
      </c>
      <c r="Q7" s="89"/>
      <c r="R7" s="52">
        <v>-3.0630000000000001E-2</v>
      </c>
      <c r="S7" s="89"/>
      <c r="T7" s="52">
        <v>13.808999999999999</v>
      </c>
      <c r="U7" s="89"/>
      <c r="V7" s="52">
        <v>6.9396000000000004</v>
      </c>
      <c r="W7" s="89"/>
      <c r="X7" s="52">
        <v>-19.151</v>
      </c>
      <c r="Y7" s="89"/>
      <c r="Z7" s="89"/>
      <c r="AA7" s="52">
        <v>-20.053999999999998</v>
      </c>
      <c r="AB7" s="89"/>
      <c r="AC7" s="89"/>
      <c r="AD7" s="52"/>
      <c r="AE7" s="89"/>
      <c r="AF7" s="75">
        <v>8.797000000000001E-3</v>
      </c>
      <c r="AG7" s="89"/>
      <c r="AH7" s="52">
        <v>378.24999999999994</v>
      </c>
      <c r="AI7" s="89"/>
      <c r="AJ7" s="52">
        <v>668.39999999999986</v>
      </c>
      <c r="AK7" s="89"/>
      <c r="AL7" s="52">
        <v>0.25900000000000001</v>
      </c>
      <c r="AM7" s="89"/>
      <c r="AN7" s="89"/>
      <c r="AO7" s="52">
        <v>0.36099999999999999</v>
      </c>
      <c r="AP7" s="89"/>
      <c r="AQ7" s="89"/>
      <c r="AR7" s="52">
        <v>21.586040914560773</v>
      </c>
      <c r="AS7" s="89"/>
      <c r="AT7" s="52">
        <v>41.682310469314075</v>
      </c>
      <c r="AU7" s="89"/>
    </row>
    <row r="8" spans="1:47" x14ac:dyDescent="0.35">
      <c r="A8" s="88">
        <v>4</v>
      </c>
      <c r="B8" s="52">
        <v>-8.6396999999999995</v>
      </c>
      <c r="C8" s="89">
        <f t="shared" ref="C8" si="37">AVERAGE(B8:B9)</f>
        <v>-7.7692499999999995</v>
      </c>
      <c r="D8" s="52">
        <v>-17.001999999999999</v>
      </c>
      <c r="E8" s="89">
        <f t="shared" ref="E8" si="38">AVERAGE(D8:D9)</f>
        <v>-16.610999999999997</v>
      </c>
      <c r="F8" s="52">
        <v>7.8268000000000004</v>
      </c>
      <c r="G8" s="89">
        <f t="shared" ref="G8" si="39">AVERAGE(F8:F9)</f>
        <v>8.0723000000000003</v>
      </c>
      <c r="H8" s="52">
        <v>6.6745999999999999</v>
      </c>
      <c r="I8" s="89">
        <f t="shared" ref="I8" si="40">AVERAGE(H8:H9)</f>
        <v>6.2662999999999993</v>
      </c>
      <c r="J8" s="52">
        <v>-0.2064</v>
      </c>
      <c r="K8" s="89">
        <f t="shared" ref="K8:N8" si="41">AVERAGE(J8:J9)</f>
        <v>-0.2064</v>
      </c>
      <c r="L8" s="89">
        <f>K8-'Hoja en sucio'!$W$117</f>
        <v>-0.11725714285714284</v>
      </c>
      <c r="M8" s="52">
        <v>-0.23039999999999999</v>
      </c>
      <c r="N8" s="89">
        <f t="shared" si="41"/>
        <v>-0.23039999999999999</v>
      </c>
      <c r="O8" s="89">
        <f>N8-'Hoja en sucio'!$W$117</f>
        <v>-0.14125714285714283</v>
      </c>
      <c r="P8" s="52">
        <v>-2.4250000000000001E-2</v>
      </c>
      <c r="Q8" s="89">
        <f t="shared" ref="Q8:S8" si="42">AVERAGE(P8:P9)</f>
        <v>-2.4645E-2</v>
      </c>
      <c r="R8" s="52">
        <v>-3.2460000000000003E-2</v>
      </c>
      <c r="S8" s="89">
        <f t="shared" si="42"/>
        <v>-2.7890000000000002E-2</v>
      </c>
      <c r="T8" s="52">
        <v>11.275</v>
      </c>
      <c r="U8" s="89">
        <f t="shared" ref="U8" si="43">AVERAGE(T8:T9)</f>
        <v>10.754000000000001</v>
      </c>
      <c r="V8" s="52">
        <v>11.175000000000001</v>
      </c>
      <c r="W8" s="89">
        <f t="shared" ref="W8" si="44">AVERAGE(V8:V9)</f>
        <v>9.3584999999999994</v>
      </c>
      <c r="X8" s="52">
        <v>-21.65</v>
      </c>
      <c r="Y8" s="89">
        <f t="shared" ref="Y8" si="45">AVERAGE(X8:X9)</f>
        <v>-20.4665</v>
      </c>
      <c r="Z8" s="89">
        <f>Y8-'Hoja en sucio'!$G$114</f>
        <v>-9.401250000000001</v>
      </c>
      <c r="AA8" s="52">
        <v>-22.954999999999998</v>
      </c>
      <c r="AB8" s="89">
        <f t="shared" ref="AB8" si="46">AVERAGE(AA8:AA9)</f>
        <v>-22.6</v>
      </c>
      <c r="AC8" s="89">
        <f>AB8-'Hoja en sucio'!$H$114</f>
        <v>-11.534750000000003</v>
      </c>
      <c r="AD8" s="52">
        <v>1.4660000000000001E-3</v>
      </c>
      <c r="AE8" s="89">
        <f t="shared" ref="AE8" si="47">AVERAGE(AD8:AD9)</f>
        <v>1.4660000000000001E-3</v>
      </c>
      <c r="AF8" s="52">
        <v>5.1339999999999997E-2</v>
      </c>
      <c r="AG8" s="89">
        <f t="shared" ref="AG8:AI8" si="48">AVERAGE(AF8:AF9)</f>
        <v>8.1020000000000009E-2</v>
      </c>
      <c r="AH8" s="52">
        <v>475.74999999999989</v>
      </c>
      <c r="AI8" s="89">
        <f t="shared" si="48"/>
        <v>475.74999999999989</v>
      </c>
      <c r="AJ8" s="52">
        <v>604.39999999999986</v>
      </c>
      <c r="AK8" s="89">
        <f t="shared" ref="AK8" si="49">AVERAGE(AJ8:AJ9)</f>
        <v>617.39999999999986</v>
      </c>
      <c r="AL8" s="52">
        <v>0.19</v>
      </c>
      <c r="AM8" s="89">
        <f t="shared" ref="AM8" si="50">AVERAGE(AL8:AL9)</f>
        <v>0.1875</v>
      </c>
      <c r="AN8" s="89">
        <f t="shared" ref="AN8" si="51">30*AM8</f>
        <v>5.625</v>
      </c>
      <c r="AO8" s="52">
        <v>0.27600000000000002</v>
      </c>
      <c r="AP8" s="89">
        <f t="shared" ref="AP8" si="52">AVERAGE(AO8:AO9)</f>
        <v>0.29000000000000004</v>
      </c>
      <c r="AQ8" s="89">
        <f t="shared" ref="AQ8" si="53">30*AP8</f>
        <v>8.7000000000000011</v>
      </c>
      <c r="AR8" s="52">
        <v>22.06738868832732</v>
      </c>
      <c r="AS8" s="89">
        <f t="shared" ref="AS8" si="54">AVERAGE(AR8:AR9)</f>
        <v>22.217809867629363</v>
      </c>
      <c r="AT8" s="52">
        <v>37.651022864019254</v>
      </c>
      <c r="AU8" s="89">
        <f t="shared" ref="AU8" si="55">AVERAGE(AT8:AT9)</f>
        <v>39.305655836341757</v>
      </c>
    </row>
    <row r="9" spans="1:47" x14ac:dyDescent="0.35">
      <c r="A9" s="88"/>
      <c r="B9" s="52">
        <v>-6.8987999999999996</v>
      </c>
      <c r="C9" s="89"/>
      <c r="D9" s="52">
        <v>-16.22</v>
      </c>
      <c r="E9" s="89"/>
      <c r="F9" s="52">
        <v>8.3178000000000001</v>
      </c>
      <c r="G9" s="89"/>
      <c r="H9" s="52">
        <v>5.8579999999999997</v>
      </c>
      <c r="I9" s="89"/>
      <c r="J9" s="52" t="s">
        <v>3</v>
      </c>
      <c r="K9" s="89"/>
      <c r="L9" s="89"/>
      <c r="M9" s="52" t="s">
        <v>3</v>
      </c>
      <c r="N9" s="89"/>
      <c r="O9" s="89"/>
      <c r="P9" s="52">
        <v>-2.504E-2</v>
      </c>
      <c r="Q9" s="89"/>
      <c r="R9" s="52">
        <v>-2.332E-2</v>
      </c>
      <c r="S9" s="89"/>
      <c r="T9" s="52">
        <v>10.233000000000001</v>
      </c>
      <c r="U9" s="89"/>
      <c r="V9" s="52">
        <v>7.5419999999999998</v>
      </c>
      <c r="W9" s="89"/>
      <c r="X9" s="52">
        <v>-19.283000000000001</v>
      </c>
      <c r="Y9" s="89"/>
      <c r="Z9" s="89"/>
      <c r="AA9" s="52">
        <v>-22.245000000000001</v>
      </c>
      <c r="AB9" s="89"/>
      <c r="AC9" s="89"/>
      <c r="AD9" s="52"/>
      <c r="AE9" s="89"/>
      <c r="AF9" s="52">
        <v>0.11070000000000001</v>
      </c>
      <c r="AG9" s="89"/>
      <c r="AH9" s="52">
        <v>475.74999999999989</v>
      </c>
      <c r="AI9" s="89"/>
      <c r="AJ9" s="52">
        <v>630.39999999999986</v>
      </c>
      <c r="AK9" s="89"/>
      <c r="AL9" s="52">
        <v>0.185</v>
      </c>
      <c r="AM9" s="89"/>
      <c r="AN9" s="89"/>
      <c r="AO9" s="52">
        <v>0.30399999999999999</v>
      </c>
      <c r="AP9" s="89"/>
      <c r="AQ9" s="89"/>
      <c r="AR9" s="52">
        <v>22.368231046931406</v>
      </c>
      <c r="AS9" s="89"/>
      <c r="AT9" s="52">
        <v>40.960288808664259</v>
      </c>
      <c r="AU9" s="89"/>
    </row>
    <row r="10" spans="1:47" x14ac:dyDescent="0.35">
      <c r="A10" s="88">
        <v>5</v>
      </c>
      <c r="B10" s="52">
        <v>-4.5734000000000004</v>
      </c>
      <c r="C10" s="89">
        <f t="shared" ref="C10" si="56">AVERAGE(B10:B11)</f>
        <v>-4.7940500000000004</v>
      </c>
      <c r="D10" s="52">
        <v>-15.757999999999999</v>
      </c>
      <c r="E10" s="89">
        <f t="shared" ref="E10" si="57">AVERAGE(D10:D11)</f>
        <v>-16.356499999999997</v>
      </c>
      <c r="F10" s="52">
        <v>9.4824999999999999</v>
      </c>
      <c r="G10" s="89">
        <f t="shared" ref="G10" si="58">AVERAGE(F10:F11)</f>
        <v>9.9887499999999996</v>
      </c>
      <c r="H10" s="52">
        <v>6.3398000000000003</v>
      </c>
      <c r="I10" s="89">
        <f t="shared" ref="I10" si="59">AVERAGE(H10:H11)</f>
        <v>6.4006500000000006</v>
      </c>
      <c r="J10" s="52">
        <v>-0.15329999999999999</v>
      </c>
      <c r="K10" s="89">
        <f t="shared" ref="K10:N10" si="60">AVERAGE(J10:J11)</f>
        <v>-0.15329999999999999</v>
      </c>
      <c r="L10" s="89">
        <f>K10-'Hoja en sucio'!$W$117</f>
        <v>-6.4157142857142829E-2</v>
      </c>
      <c r="M10" s="52">
        <v>-6.4000000000000001E-2</v>
      </c>
      <c r="N10" s="89">
        <f t="shared" si="60"/>
        <v>-6.4000000000000001E-2</v>
      </c>
      <c r="O10" s="89">
        <f>N10-'Hoja en sucio'!$W$117</f>
        <v>2.5142857142857161E-2</v>
      </c>
      <c r="P10" s="52">
        <v>-1.8350000000000002E-2</v>
      </c>
      <c r="Q10" s="89">
        <f t="shared" ref="Q10:S10" si="61">AVERAGE(P10:P11)</f>
        <v>-1.8855E-2</v>
      </c>
      <c r="R10" s="52">
        <v>-1.7520000000000001E-2</v>
      </c>
      <c r="S10" s="89">
        <f t="shared" si="61"/>
        <v>-1.542E-2</v>
      </c>
      <c r="T10" s="52">
        <v>9.8705999999999996</v>
      </c>
      <c r="U10" s="89">
        <f t="shared" ref="U10" si="62">AVERAGE(T10:T11)</f>
        <v>9.5443999999999996</v>
      </c>
      <c r="V10" s="52">
        <v>12.238</v>
      </c>
      <c r="W10" s="89">
        <f t="shared" ref="W10" si="63">AVERAGE(V10:V11)</f>
        <v>9.7741499999999988</v>
      </c>
      <c r="X10" s="52">
        <v>-16.373999999999999</v>
      </c>
      <c r="Y10" s="89">
        <f t="shared" ref="Y10" si="64">AVERAGE(X10:X11)</f>
        <v>-14.622999999999999</v>
      </c>
      <c r="Z10" s="89">
        <f>Y10-'Hoja en sucio'!$G$114</f>
        <v>-3.5577500000000004</v>
      </c>
      <c r="AA10" s="52">
        <v>-20.145</v>
      </c>
      <c r="AB10" s="89">
        <f t="shared" ref="AB10" si="65">AVERAGE(AA10:AA11)</f>
        <v>-20.13</v>
      </c>
      <c r="AC10" s="89">
        <f>AB10-'Hoja en sucio'!$H$114</f>
        <v>-9.0647500000000001</v>
      </c>
      <c r="AD10" s="52">
        <v>3.1579999999999998E-3</v>
      </c>
      <c r="AE10" s="89">
        <f t="shared" ref="AE10" si="66">AVERAGE(AD10:AD11)</f>
        <v>3.1579999999999998E-3</v>
      </c>
      <c r="AF10" s="52">
        <v>1.9099999999999999E-2</v>
      </c>
      <c r="AG10" s="89">
        <f t="shared" ref="AG10:AI10" si="67">AVERAGE(AF10:AF11)</f>
        <v>1.5865000000000001E-2</v>
      </c>
      <c r="AH10" s="52">
        <v>265.74999999999989</v>
      </c>
      <c r="AI10" s="89">
        <f t="shared" si="67"/>
        <v>290.74999999999989</v>
      </c>
      <c r="AJ10" s="52">
        <v>610.40000000000009</v>
      </c>
      <c r="AK10" s="89">
        <f t="shared" ref="AK10" si="68">AVERAGE(AJ10:AJ11)</f>
        <v>582.40000000000009</v>
      </c>
      <c r="AL10" s="52">
        <v>0.11899999999999999</v>
      </c>
      <c r="AM10" s="89">
        <f t="shared" ref="AM10" si="69">AVERAGE(AL10:AL11)</f>
        <v>0.13850000000000001</v>
      </c>
      <c r="AN10" s="89">
        <f t="shared" ref="AN10" si="70">30*AM10</f>
        <v>4.1550000000000002</v>
      </c>
      <c r="AO10" s="52">
        <v>0.28699999999999998</v>
      </c>
      <c r="AP10" s="89">
        <f t="shared" ref="AP10" si="71">AVERAGE(AO10:AO11)</f>
        <v>0.29899999999999999</v>
      </c>
      <c r="AQ10" s="89">
        <f t="shared" ref="AQ10" si="72">30*AP10</f>
        <v>8.9699999999999989</v>
      </c>
      <c r="AR10" s="52">
        <v>21.525872442839955</v>
      </c>
      <c r="AS10" s="89">
        <f t="shared" ref="AS10" si="73">AVERAGE(AR10:AR11)</f>
        <v>22.217809867629363</v>
      </c>
      <c r="AT10" s="52">
        <v>55.160048134777377</v>
      </c>
      <c r="AU10" s="89">
        <f t="shared" ref="AU10" si="74">AVERAGE(AT10:AT11)</f>
        <v>55.069795427196148</v>
      </c>
    </row>
    <row r="11" spans="1:47" x14ac:dyDescent="0.35">
      <c r="A11" s="88"/>
      <c r="B11" s="52">
        <v>-5.0147000000000004</v>
      </c>
      <c r="C11" s="89"/>
      <c r="D11" s="52">
        <v>-16.954999999999998</v>
      </c>
      <c r="E11" s="89"/>
      <c r="F11" s="52">
        <v>10.494999999999999</v>
      </c>
      <c r="G11" s="89"/>
      <c r="H11" s="52">
        <v>6.4615</v>
      </c>
      <c r="I11" s="89"/>
      <c r="J11" s="52" t="s">
        <v>3</v>
      </c>
      <c r="K11" s="89"/>
      <c r="L11" s="89"/>
      <c r="M11" s="52" t="s">
        <v>3</v>
      </c>
      <c r="N11" s="89"/>
      <c r="O11" s="89"/>
      <c r="P11" s="52">
        <v>-1.9359999999999999E-2</v>
      </c>
      <c r="Q11" s="89"/>
      <c r="R11" s="52">
        <v>-1.332E-2</v>
      </c>
      <c r="S11" s="89"/>
      <c r="T11" s="52">
        <v>9.2181999999999995</v>
      </c>
      <c r="U11" s="89"/>
      <c r="V11" s="52">
        <v>7.3102999999999998</v>
      </c>
      <c r="W11" s="89"/>
      <c r="X11" s="52">
        <v>-12.872</v>
      </c>
      <c r="Y11" s="89"/>
      <c r="Z11" s="89"/>
      <c r="AA11" s="52">
        <v>-20.114999999999998</v>
      </c>
      <c r="AB11" s="89"/>
      <c r="AC11" s="89"/>
      <c r="AD11" s="52"/>
      <c r="AE11" s="89"/>
      <c r="AF11" s="52">
        <v>1.2630000000000001E-2</v>
      </c>
      <c r="AG11" s="89"/>
      <c r="AH11" s="52">
        <v>315.74999999999989</v>
      </c>
      <c r="AI11" s="89"/>
      <c r="AJ11" s="52">
        <v>554.4</v>
      </c>
      <c r="AK11" s="89"/>
      <c r="AL11" s="52">
        <v>0.158</v>
      </c>
      <c r="AM11" s="89"/>
      <c r="AN11" s="89"/>
      <c r="AO11" s="52">
        <v>0.311</v>
      </c>
      <c r="AP11" s="89"/>
      <c r="AQ11" s="89"/>
      <c r="AR11" s="52">
        <v>22.909747292418771</v>
      </c>
      <c r="AS11" s="89"/>
      <c r="AT11" s="52">
        <v>54.979542719614919</v>
      </c>
      <c r="AU11" s="89"/>
    </row>
    <row r="12" spans="1:47" x14ac:dyDescent="0.35">
      <c r="A12" s="88">
        <v>6</v>
      </c>
      <c r="B12" s="52">
        <v>-9.3070000000000004</v>
      </c>
      <c r="C12" s="89">
        <f t="shared" ref="C12" si="75">AVERAGE(B12:B13)</f>
        <v>-9.2689000000000004</v>
      </c>
      <c r="D12" s="52">
        <v>-16.459</v>
      </c>
      <c r="E12" s="89">
        <f t="shared" ref="E12" si="76">AVERAGE(D12:D13)</f>
        <v>-16.442</v>
      </c>
      <c r="F12" s="52">
        <v>8.1656999999999993</v>
      </c>
      <c r="G12" s="89">
        <f t="shared" ref="G12" si="77">AVERAGE(F12:F13)</f>
        <v>8.5308500000000009</v>
      </c>
      <c r="H12" s="52">
        <v>6.9484000000000004</v>
      </c>
      <c r="I12" s="89">
        <f t="shared" ref="I12" si="78">AVERAGE(H12:H13)</f>
        <v>6.4361499999999996</v>
      </c>
      <c r="J12" s="52">
        <v>-9.0139999999999998E-2</v>
      </c>
      <c r="K12" s="89">
        <f t="shared" ref="K12:N12" si="79">AVERAGE(J12:J13)</f>
        <v>-9.0139999999999998E-2</v>
      </c>
      <c r="L12" s="89">
        <f>K12-'Hoja en sucio'!$W$117</f>
        <v>-9.9714285714283535E-4</v>
      </c>
      <c r="M12" s="52">
        <v>-7.3249999999999996E-2</v>
      </c>
      <c r="N12" s="89">
        <f t="shared" si="79"/>
        <v>-7.3249999999999996E-2</v>
      </c>
      <c r="O12" s="89">
        <f>N12-'Hoja en sucio'!$W$117</f>
        <v>1.5892857142857167E-2</v>
      </c>
      <c r="P12" s="52">
        <v>-2.2679999999999999E-2</v>
      </c>
      <c r="Q12" s="89">
        <f t="shared" ref="Q12:S12" si="80">AVERAGE(P12:P13)</f>
        <v>-2.3099999999999999E-2</v>
      </c>
      <c r="R12" s="52">
        <v>-5.1999999999999998E-2</v>
      </c>
      <c r="S12" s="89">
        <f t="shared" si="80"/>
        <v>-4.1309999999999999E-2</v>
      </c>
      <c r="T12" s="52">
        <v>20.065000000000001</v>
      </c>
      <c r="U12" s="89">
        <f t="shared" ref="U12" si="81">AVERAGE(T12:T13)</f>
        <v>19.8735</v>
      </c>
      <c r="V12" s="52">
        <v>12.693</v>
      </c>
      <c r="W12" s="89">
        <f t="shared" ref="W12" si="82">AVERAGE(V12:V13)</f>
        <v>9.6752000000000002</v>
      </c>
      <c r="X12" s="52">
        <v>-17.783999999999999</v>
      </c>
      <c r="Y12" s="89">
        <f t="shared" ref="Y12" si="83">AVERAGE(X12:X13)</f>
        <v>-16.0305</v>
      </c>
      <c r="Z12" s="89">
        <f>Y12-'Hoja en sucio'!$G$114</f>
        <v>-4.9652500000000011</v>
      </c>
      <c r="AA12" s="52">
        <v>-23.922999999999998</v>
      </c>
      <c r="AB12" s="89">
        <f t="shared" ref="AB12" si="84">AVERAGE(AA12:AA13)</f>
        <v>-24.073</v>
      </c>
      <c r="AC12" s="89">
        <f>AB12-'Hoja en sucio'!$H$114</f>
        <v>-13.007750000000001</v>
      </c>
      <c r="AD12" s="52">
        <v>1.6240000000000002E-3</v>
      </c>
      <c r="AE12" s="89">
        <f t="shared" ref="AE12" si="85">AVERAGE(AD12:AD13)</f>
        <v>1.6240000000000002E-3</v>
      </c>
      <c r="AF12" s="52">
        <v>7.3260000000000006E-2</v>
      </c>
      <c r="AG12" s="89">
        <f t="shared" ref="AG12:AI12" si="86">AVERAGE(AF12:AF13)</f>
        <v>6.9790000000000005E-2</v>
      </c>
      <c r="AH12" s="52">
        <v>165.74999999999991</v>
      </c>
      <c r="AI12" s="89">
        <f t="shared" si="86"/>
        <v>196.99999999999989</v>
      </c>
      <c r="AJ12" s="52">
        <v>548.4</v>
      </c>
      <c r="AK12" s="89">
        <f t="shared" ref="AK12" si="87">AVERAGE(AJ12:AJ13)</f>
        <v>546.4</v>
      </c>
      <c r="AL12" s="52">
        <v>0.18099999999999999</v>
      </c>
      <c r="AM12" s="89">
        <f t="shared" ref="AM12" si="88">AVERAGE(AL12:AL13)</f>
        <v>0.187</v>
      </c>
      <c r="AN12" s="89">
        <f t="shared" ref="AN12" si="89">30*AM12</f>
        <v>5.61</v>
      </c>
      <c r="AO12" s="52">
        <v>0.28899999999999998</v>
      </c>
      <c r="AP12" s="89">
        <f t="shared" ref="AP12" si="90">AVERAGE(AO12:AO13)</f>
        <v>0.3145</v>
      </c>
      <c r="AQ12" s="89">
        <f t="shared" ref="AQ12" si="91">30*AP12</f>
        <v>9.4350000000000005</v>
      </c>
      <c r="AR12" s="52">
        <v>22.428399518652228</v>
      </c>
      <c r="AS12" s="89">
        <f t="shared" ref="AS12" si="92">AVERAGE(AR12:AR13)</f>
        <v>22.247894103489774</v>
      </c>
      <c r="AT12" s="52">
        <v>36.327316486161251</v>
      </c>
      <c r="AU12" s="89">
        <f t="shared" ref="AU12" si="93">AVERAGE(AT12:AT13)</f>
        <v>36.598074608904938</v>
      </c>
    </row>
    <row r="13" spans="1:47" x14ac:dyDescent="0.35">
      <c r="A13" s="88"/>
      <c r="B13" s="52">
        <v>-9.2308000000000003</v>
      </c>
      <c r="C13" s="89"/>
      <c r="D13" s="52">
        <v>-16.425000000000001</v>
      </c>
      <c r="E13" s="89"/>
      <c r="F13" s="52">
        <v>8.8960000000000008</v>
      </c>
      <c r="G13" s="89"/>
      <c r="H13" s="52">
        <v>5.9238999999999997</v>
      </c>
      <c r="I13" s="89"/>
      <c r="J13" s="52" t="s">
        <v>3</v>
      </c>
      <c r="K13" s="89"/>
      <c r="L13" s="89"/>
      <c r="M13" s="52" t="s">
        <v>3</v>
      </c>
      <c r="N13" s="89"/>
      <c r="O13" s="89"/>
      <c r="P13" s="52">
        <v>-2.3519999999999999E-2</v>
      </c>
      <c r="Q13" s="89"/>
      <c r="R13" s="52">
        <v>-3.0620000000000001E-2</v>
      </c>
      <c r="S13" s="89"/>
      <c r="T13" s="52">
        <v>19.681999999999999</v>
      </c>
      <c r="U13" s="89"/>
      <c r="V13" s="52">
        <v>6.6574</v>
      </c>
      <c r="W13" s="89"/>
      <c r="X13" s="52">
        <v>-14.276999999999999</v>
      </c>
      <c r="Y13" s="89"/>
      <c r="Z13" s="89"/>
      <c r="AA13" s="52">
        <v>-24.222999999999999</v>
      </c>
      <c r="AB13" s="89"/>
      <c r="AC13" s="89"/>
      <c r="AD13" s="52"/>
      <c r="AE13" s="89"/>
      <c r="AF13" s="52">
        <v>6.6320000000000004E-2</v>
      </c>
      <c r="AG13" s="89"/>
      <c r="AH13" s="52">
        <v>228.24999999999983</v>
      </c>
      <c r="AI13" s="89"/>
      <c r="AJ13" s="52">
        <v>544.4</v>
      </c>
      <c r="AK13" s="89"/>
      <c r="AL13" s="52">
        <v>0.193</v>
      </c>
      <c r="AM13" s="89"/>
      <c r="AN13" s="89"/>
      <c r="AO13" s="52">
        <v>0.34</v>
      </c>
      <c r="AP13" s="89"/>
      <c r="AQ13" s="89"/>
      <c r="AR13" s="52">
        <v>22.06738868832732</v>
      </c>
      <c r="AS13" s="89"/>
      <c r="AT13" s="52">
        <v>36.868832731648617</v>
      </c>
      <c r="AU13" s="89"/>
    </row>
    <row r="14" spans="1:47" x14ac:dyDescent="0.35">
      <c r="A14" s="88">
        <v>7</v>
      </c>
      <c r="B14" s="52">
        <v>-8.8651</v>
      </c>
      <c r="C14" s="89">
        <f t="shared" ref="C14" si="94">AVERAGE(B14:B15)</f>
        <v>-7.7476500000000001</v>
      </c>
      <c r="D14" s="52">
        <v>-13.763</v>
      </c>
      <c r="E14" s="89">
        <f t="shared" ref="E14" si="95">AVERAGE(D14:D15)</f>
        <v>-14.8765</v>
      </c>
      <c r="F14" s="52">
        <v>7.8268000000000004</v>
      </c>
      <c r="G14" s="89">
        <f t="shared" ref="G14" si="96">AVERAGE(F14:F15)</f>
        <v>8.0462500000000006</v>
      </c>
      <c r="H14" s="52">
        <v>6.5021000000000004</v>
      </c>
      <c r="I14" s="89">
        <f t="shared" ref="I14" si="97">AVERAGE(H14:H15)</f>
        <v>6.8901000000000003</v>
      </c>
      <c r="J14" s="52">
        <v>-0.16270000000000001</v>
      </c>
      <c r="K14" s="89">
        <f t="shared" ref="K14:N14" si="98">AVERAGE(J14:J15)</f>
        <v>-0.16270000000000001</v>
      </c>
      <c r="L14" s="89">
        <f>K14-'Hoja en sucio'!$W$117</f>
        <v>-7.3557142857142849E-2</v>
      </c>
      <c r="M14" s="52">
        <v>-6.0970000000000003E-2</v>
      </c>
      <c r="N14" s="89">
        <f t="shared" si="98"/>
        <v>-6.0970000000000003E-2</v>
      </c>
      <c r="O14" s="89">
        <f>N14-'Hoja en sucio'!$W$117</f>
        <v>2.8172857142857159E-2</v>
      </c>
      <c r="P14" s="52">
        <v>-2.6700000000000002E-2</v>
      </c>
      <c r="Q14" s="89">
        <f t="shared" ref="Q14:S14" si="99">AVERAGE(P14:P15)</f>
        <v>-2.6605E-2</v>
      </c>
      <c r="R14" s="52">
        <v>-1.5310000000000001E-2</v>
      </c>
      <c r="S14" s="89">
        <f t="shared" si="99"/>
        <v>-2.5454999999999998E-2</v>
      </c>
      <c r="T14" s="52">
        <v>22.001000000000001</v>
      </c>
      <c r="U14" s="89">
        <f t="shared" ref="U14" si="100">AVERAGE(T14:T15)</f>
        <v>21.551000000000002</v>
      </c>
      <c r="V14" s="52">
        <v>10.516</v>
      </c>
      <c r="W14" s="89">
        <f t="shared" ref="W14" si="101">AVERAGE(V14:V15)</f>
        <v>9.0300499999999992</v>
      </c>
      <c r="X14" s="52">
        <v>-19.931999999999999</v>
      </c>
      <c r="Y14" s="89">
        <f t="shared" ref="Y14" si="102">AVERAGE(X14:X15)</f>
        <v>-19.353999999999999</v>
      </c>
      <c r="Z14" s="89">
        <f>Y14-'Hoja en sucio'!$G$114</f>
        <v>-8.2887500000000003</v>
      </c>
      <c r="AA14" s="52">
        <v>-24.558</v>
      </c>
      <c r="AB14" s="89">
        <f t="shared" ref="AB14" si="103">AVERAGE(AA14:AA15)</f>
        <v>-25.0535</v>
      </c>
      <c r="AC14" s="89">
        <f>AB14-'Hoja en sucio'!$H$114</f>
        <v>-13.988250000000001</v>
      </c>
      <c r="AD14" s="52">
        <v>3.1580000000000003E-4</v>
      </c>
      <c r="AE14" s="89">
        <f t="shared" ref="AE14" si="104">AVERAGE(AD14:AD15)</f>
        <v>3.1580000000000003E-4</v>
      </c>
      <c r="AF14" s="52">
        <v>9.3160000000000007E-2</v>
      </c>
      <c r="AG14" s="89">
        <f t="shared" ref="AG14:AI14" si="105">AVERAGE(AF14:AF15)</f>
        <v>5.2875000000000005E-2</v>
      </c>
      <c r="AH14" s="52">
        <v>378.24999999999994</v>
      </c>
      <c r="AI14" s="89">
        <f t="shared" si="105"/>
        <v>440.74999999999994</v>
      </c>
      <c r="AJ14" s="52">
        <v>642.39999999999986</v>
      </c>
      <c r="AK14" s="89">
        <f t="shared" ref="AK14" si="106">AVERAGE(AJ14:AJ15)</f>
        <v>655.39999999999986</v>
      </c>
      <c r="AL14" s="52">
        <v>0.21299999999999999</v>
      </c>
      <c r="AM14" s="89">
        <f t="shared" ref="AM14" si="107">AVERAGE(AL14:AL15)</f>
        <v>0.217</v>
      </c>
      <c r="AN14" s="89">
        <f t="shared" ref="AN14" si="108">30*AM14</f>
        <v>6.51</v>
      </c>
      <c r="AO14" s="52">
        <v>0.27</v>
      </c>
      <c r="AP14" s="89">
        <f t="shared" ref="AP14" si="109">AVERAGE(AO14:AO15)</f>
        <v>0.28149999999999997</v>
      </c>
      <c r="AQ14" s="89">
        <f t="shared" ref="AQ14" si="110">30*AP14</f>
        <v>8.4449999999999985</v>
      </c>
      <c r="AR14" s="52">
        <v>24.955475330926596</v>
      </c>
      <c r="AS14" s="89">
        <f t="shared" ref="AS14" si="111">AVERAGE(AR14:AR15)</f>
        <v>25.617328519855597</v>
      </c>
      <c r="AT14" s="52">
        <v>51.610108303249099</v>
      </c>
      <c r="AU14" s="89">
        <f t="shared" ref="AU14" si="112">AVERAGE(AT14:AT15)</f>
        <v>53.264741275571595</v>
      </c>
    </row>
    <row r="15" spans="1:47" x14ac:dyDescent="0.35">
      <c r="A15" s="88"/>
      <c r="B15" s="52">
        <v>-6.6302000000000003</v>
      </c>
      <c r="C15" s="89"/>
      <c r="D15" s="52">
        <v>-15.99</v>
      </c>
      <c r="E15" s="89"/>
      <c r="F15" s="52">
        <v>8.2657000000000007</v>
      </c>
      <c r="G15" s="89"/>
      <c r="H15" s="52">
        <v>7.2781000000000002</v>
      </c>
      <c r="I15" s="89"/>
      <c r="J15" s="52" t="s">
        <v>3</v>
      </c>
      <c r="K15" s="89"/>
      <c r="L15" s="89"/>
      <c r="M15" s="52" t="s">
        <v>3</v>
      </c>
      <c r="N15" s="89"/>
      <c r="O15" s="89"/>
      <c r="P15" s="52">
        <v>-2.6509999999999999E-2</v>
      </c>
      <c r="Q15" s="89"/>
      <c r="R15" s="52">
        <v>-3.56E-2</v>
      </c>
      <c r="S15" s="89"/>
      <c r="T15" s="52">
        <v>21.100999999999999</v>
      </c>
      <c r="U15" s="89"/>
      <c r="V15" s="52">
        <v>7.5441000000000003</v>
      </c>
      <c r="W15" s="89"/>
      <c r="X15" s="52">
        <v>-18.776</v>
      </c>
      <c r="Y15" s="89"/>
      <c r="Z15" s="89"/>
      <c r="AA15" s="52">
        <v>-25.548999999999999</v>
      </c>
      <c r="AB15" s="89"/>
      <c r="AC15" s="89"/>
      <c r="AD15" s="52"/>
      <c r="AE15" s="89"/>
      <c r="AF15" s="52">
        <v>1.259E-2</v>
      </c>
      <c r="AG15" s="89"/>
      <c r="AH15" s="52">
        <v>503.24999999999994</v>
      </c>
      <c r="AI15" s="89"/>
      <c r="AJ15" s="52">
        <v>668.39999999999975</v>
      </c>
      <c r="AK15" s="89"/>
      <c r="AL15" s="52">
        <v>0.221</v>
      </c>
      <c r="AM15" s="89"/>
      <c r="AN15" s="89"/>
      <c r="AO15" s="52">
        <v>0.29299999999999998</v>
      </c>
      <c r="AP15" s="89"/>
      <c r="AQ15" s="89"/>
      <c r="AR15" s="52">
        <v>26.279181708784598</v>
      </c>
      <c r="AS15" s="89"/>
      <c r="AT15" s="52">
        <v>54.919374247894098</v>
      </c>
      <c r="AU15" s="89"/>
    </row>
    <row r="16" spans="1:47" x14ac:dyDescent="0.35">
      <c r="A16" s="88">
        <v>8</v>
      </c>
      <c r="B16" s="52">
        <v>-14.396000000000001</v>
      </c>
      <c r="C16" s="89">
        <f t="shared" ref="C16" si="113">AVERAGE(B16:B17)</f>
        <v>-13.567</v>
      </c>
      <c r="D16" s="52">
        <v>-11.742000000000001</v>
      </c>
      <c r="E16" s="89">
        <f t="shared" ref="E16" si="114">AVERAGE(D16:D17)</f>
        <v>-11.349500000000001</v>
      </c>
      <c r="F16" s="52">
        <v>7.7138</v>
      </c>
      <c r="G16" s="89">
        <f t="shared" ref="G16" si="115">AVERAGE(F16:F17)</f>
        <v>8.1576000000000004</v>
      </c>
      <c r="H16" s="52">
        <v>6.4108000000000001</v>
      </c>
      <c r="I16" s="89">
        <f t="shared" ref="I16" si="116">AVERAGE(H16:H17)</f>
        <v>8.5624000000000002</v>
      </c>
      <c r="J16" s="52">
        <v>-0.23200000000000001</v>
      </c>
      <c r="K16" s="89">
        <f t="shared" ref="K16:N16" si="117">AVERAGE(J16:J17)</f>
        <v>-0.23200000000000001</v>
      </c>
      <c r="L16" s="89">
        <f>K16-'Hoja en sucio'!$W$117</f>
        <v>-0.14285714285714285</v>
      </c>
      <c r="M16" s="52">
        <v>-8.5199999999999998E-2</v>
      </c>
      <c r="N16" s="89">
        <f t="shared" si="117"/>
        <v>-8.5199999999999998E-2</v>
      </c>
      <c r="O16" s="89">
        <f>N16-'Hoja en sucio'!$W$117</f>
        <v>3.9428571428571646E-3</v>
      </c>
      <c r="P16" s="52">
        <v>-3.5520000000000003E-2</v>
      </c>
      <c r="Q16" s="89">
        <f t="shared" ref="Q16:S16" si="118">AVERAGE(P16:P17)</f>
        <v>-3.6670000000000001E-2</v>
      </c>
      <c r="R16" s="52">
        <v>-3.2399999999999998E-2</v>
      </c>
      <c r="S16" s="89">
        <f t="shared" si="118"/>
        <v>-4.1800000000000004E-2</v>
      </c>
      <c r="T16" s="52">
        <v>18.489999999999998</v>
      </c>
      <c r="U16" s="89">
        <f t="shared" ref="U16" si="119">AVERAGE(T16:T17)</f>
        <v>19.291499999999999</v>
      </c>
      <c r="V16" s="52">
        <v>4.9191000000000003</v>
      </c>
      <c r="W16" s="89">
        <f t="shared" ref="W16" si="120">AVERAGE(V16:V17)</f>
        <v>4.5006000000000004</v>
      </c>
      <c r="X16" s="52">
        <v>-27.805</v>
      </c>
      <c r="Y16" s="89">
        <f t="shared" ref="Y16" si="121">AVERAGE(X16:X17)</f>
        <v>-25.805999999999997</v>
      </c>
      <c r="Z16" s="89">
        <f>Y16-'Hoja en sucio'!$G$114</f>
        <v>-14.740749999999998</v>
      </c>
      <c r="AA16" s="52">
        <v>-20.885999999999999</v>
      </c>
      <c r="AB16" s="89">
        <f t="shared" ref="AB16" si="122">AVERAGE(AA16:AA17)</f>
        <v>-21.099</v>
      </c>
      <c r="AC16" s="89">
        <f>AB16-'Hoja en sucio'!$H$114</f>
        <v>-10.033750000000001</v>
      </c>
      <c r="AD16" s="52">
        <v>9.1090000000000008E-4</v>
      </c>
      <c r="AE16" s="89">
        <f t="shared" ref="AE16" si="123">AVERAGE(AD16:AD17)</f>
        <v>9.1090000000000008E-4</v>
      </c>
      <c r="AF16" s="52">
        <v>5.7049999999999997E-2</v>
      </c>
      <c r="AG16" s="89">
        <f t="shared" ref="AG16:AI16" si="124">AVERAGE(AF16:AF17)</f>
        <v>4.9049999999999996E-2</v>
      </c>
      <c r="AH16" s="52">
        <v>605.75</v>
      </c>
      <c r="AI16" s="89">
        <f t="shared" si="124"/>
        <v>625.75</v>
      </c>
      <c r="AJ16" s="52">
        <v>612.39999999999986</v>
      </c>
      <c r="AK16" s="89">
        <f t="shared" ref="AK16" si="125">AVERAGE(AJ16:AJ17)</f>
        <v>608.39999999999986</v>
      </c>
      <c r="AL16" s="52">
        <v>0.24</v>
      </c>
      <c r="AM16" s="89">
        <f t="shared" ref="AM16" si="126">AVERAGE(AL16:AL17)</f>
        <v>0.25650000000000001</v>
      </c>
      <c r="AN16" s="89">
        <f t="shared" ref="AN16" si="127">30*AM16</f>
        <v>7.6950000000000003</v>
      </c>
      <c r="AO16" s="52">
        <v>0.312</v>
      </c>
      <c r="AP16" s="89">
        <f t="shared" ref="AP16" si="128">AVERAGE(AO16:AO17)</f>
        <v>0.32600000000000001</v>
      </c>
      <c r="AQ16" s="89">
        <f t="shared" ref="AQ16" si="129">30*AP16</f>
        <v>9.7800000000000011</v>
      </c>
      <c r="AR16" s="52">
        <v>27.663056558363419</v>
      </c>
      <c r="AS16" s="89">
        <f t="shared" ref="AS16" si="130">AVERAGE(AR16:AR17)</f>
        <v>28.32490974729242</v>
      </c>
      <c r="AT16" s="52">
        <v>41.020457280385074</v>
      </c>
      <c r="AU16" s="89">
        <f t="shared" ref="AU16" si="131">AVERAGE(AT16:AT17)</f>
        <v>39.275571600481342</v>
      </c>
    </row>
    <row r="17" spans="1:47" x14ac:dyDescent="0.35">
      <c r="A17" s="88"/>
      <c r="B17" s="52">
        <v>-12.738</v>
      </c>
      <c r="C17" s="89"/>
      <c r="D17" s="52">
        <v>-10.957000000000001</v>
      </c>
      <c r="E17" s="89"/>
      <c r="F17" s="52">
        <v>8.6013999999999999</v>
      </c>
      <c r="G17" s="89"/>
      <c r="H17" s="52">
        <v>10.714</v>
      </c>
      <c r="I17" s="89"/>
      <c r="J17" s="52" t="s">
        <v>3</v>
      </c>
      <c r="K17" s="89"/>
      <c r="L17" s="89"/>
      <c r="M17" s="52" t="s">
        <v>3</v>
      </c>
      <c r="N17" s="89"/>
      <c r="O17" s="89"/>
      <c r="P17" s="52">
        <v>-3.7819999999999999E-2</v>
      </c>
      <c r="Q17" s="89"/>
      <c r="R17" s="52">
        <v>-5.1200000000000002E-2</v>
      </c>
      <c r="S17" s="89"/>
      <c r="T17" s="52">
        <v>20.093</v>
      </c>
      <c r="U17" s="89"/>
      <c r="V17" s="52">
        <v>4.0820999999999996</v>
      </c>
      <c r="W17" s="89"/>
      <c r="X17" s="52">
        <v>-23.806999999999999</v>
      </c>
      <c r="Y17" s="89"/>
      <c r="Z17" s="89"/>
      <c r="AA17" s="52">
        <v>-21.312000000000001</v>
      </c>
      <c r="AB17" s="89"/>
      <c r="AC17" s="89"/>
      <c r="AD17" s="52"/>
      <c r="AE17" s="89"/>
      <c r="AF17" s="52">
        <v>4.1050000000000003E-2</v>
      </c>
      <c r="AG17" s="89"/>
      <c r="AH17" s="52">
        <v>645.74999999999989</v>
      </c>
      <c r="AI17" s="89"/>
      <c r="AJ17" s="52">
        <v>604.39999999999986</v>
      </c>
      <c r="AK17" s="89"/>
      <c r="AL17" s="52">
        <v>0.27300000000000002</v>
      </c>
      <c r="AM17" s="89"/>
      <c r="AN17" s="89"/>
      <c r="AO17" s="52">
        <v>0.34</v>
      </c>
      <c r="AP17" s="89"/>
      <c r="AQ17" s="89"/>
      <c r="AR17" s="52">
        <v>28.986762936221421</v>
      </c>
      <c r="AS17" s="89"/>
      <c r="AT17" s="52">
        <v>37.530685920577618</v>
      </c>
      <c r="AU17" s="89"/>
    </row>
    <row r="18" spans="1:47" x14ac:dyDescent="0.35">
      <c r="A18" s="88">
        <v>9</v>
      </c>
      <c r="B18" s="52">
        <v>-5.7976000000000001</v>
      </c>
      <c r="C18" s="89">
        <f t="shared" ref="C18" si="132">AVERAGE(B18:B19)</f>
        <v>-7.5870499999999996</v>
      </c>
      <c r="D18" s="52">
        <v>-23.971</v>
      </c>
      <c r="E18" s="89">
        <f t="shared" ref="E18" si="133">AVERAGE(D18:D19)</f>
        <v>-26.097999999999999</v>
      </c>
      <c r="F18" s="52">
        <v>8.4445999999999994</v>
      </c>
      <c r="G18" s="89">
        <f t="shared" ref="G18" si="134">AVERAGE(F18:F19)</f>
        <v>8.1356999999999999</v>
      </c>
      <c r="H18" s="52">
        <v>8.0838999999999999</v>
      </c>
      <c r="I18" s="89">
        <f t="shared" ref="I18" si="135">AVERAGE(H18:H19)</f>
        <v>7.5874000000000006</v>
      </c>
      <c r="J18" s="52">
        <v>-8.5519999999999999E-2</v>
      </c>
      <c r="K18" s="89">
        <f t="shared" ref="K18:N18" si="136">AVERAGE(J18:J19)</f>
        <v>-8.5519999999999999E-2</v>
      </c>
      <c r="L18" s="89">
        <f>K18-'Hoja en sucio'!$W$117</f>
        <v>3.6228571428571638E-3</v>
      </c>
      <c r="M18" s="52">
        <v>-0.1143</v>
      </c>
      <c r="N18" s="89">
        <f t="shared" si="136"/>
        <v>-0.1143</v>
      </c>
      <c r="O18" s="89">
        <f>N18-'Hoja en sucio'!$W$117</f>
        <v>-2.5157142857142836E-2</v>
      </c>
      <c r="P18" s="52">
        <v>-3.1379999999999998E-2</v>
      </c>
      <c r="Q18" s="89">
        <f t="shared" ref="Q18:S18" si="137">AVERAGE(P18:P19)</f>
        <v>-2.9059999999999999E-2</v>
      </c>
      <c r="R18" s="52">
        <v>-1.736E-2</v>
      </c>
      <c r="S18" s="89">
        <f t="shared" si="137"/>
        <v>-1.924E-2</v>
      </c>
      <c r="T18" s="52">
        <v>17.126999999999999</v>
      </c>
      <c r="U18" s="89">
        <f t="shared" ref="U18" si="138">AVERAGE(T18:T19)</f>
        <v>15.643000000000001</v>
      </c>
      <c r="V18" s="52">
        <v>16.204000000000001</v>
      </c>
      <c r="W18" s="89">
        <f t="shared" ref="W18" si="139">AVERAGE(V18:V19)</f>
        <v>14.196999999999999</v>
      </c>
      <c r="X18" s="52">
        <v>-19.606999999999999</v>
      </c>
      <c r="Y18" s="89">
        <f t="shared" ref="Y18" si="140">AVERAGE(X18:X19)</f>
        <v>-20.317499999999999</v>
      </c>
      <c r="Z18" s="89">
        <f>Y18-'Hoja en sucio'!$G$114</f>
        <v>-9.2522500000000001</v>
      </c>
      <c r="AA18" s="52">
        <v>-20.135000000000002</v>
      </c>
      <c r="AB18" s="89">
        <f t="shared" ref="AB18" si="141">AVERAGE(AA18:AA19)</f>
        <v>-19.942500000000003</v>
      </c>
      <c r="AC18" s="89">
        <f>AB18-'Hoja en sucio'!$H$114</f>
        <v>-8.8772500000000036</v>
      </c>
      <c r="AD18" s="52">
        <v>6.7670000000000004E-3</v>
      </c>
      <c r="AE18" s="89">
        <f t="shared" ref="AE18" si="142">AVERAGE(AD18:AD19)</f>
        <v>6.7670000000000004E-3</v>
      </c>
      <c r="AF18" s="52">
        <v>1.8950000000000002E-2</v>
      </c>
      <c r="AG18" s="89">
        <f t="shared" ref="AG18:AI18" si="143">AVERAGE(AF18:AF19)</f>
        <v>1.8950000000000002E-2</v>
      </c>
      <c r="AH18" s="52">
        <v>590.75</v>
      </c>
      <c r="AI18" s="89">
        <f t="shared" si="143"/>
        <v>595.75</v>
      </c>
      <c r="AJ18" s="52">
        <v>616.4</v>
      </c>
      <c r="AK18" s="89">
        <f t="shared" ref="AK18" si="144">AVERAGE(AJ18:AJ19)</f>
        <v>647.39999999999986</v>
      </c>
      <c r="AL18" s="52">
        <v>0.11799999999999999</v>
      </c>
      <c r="AM18" s="89">
        <f t="shared" ref="AM18" si="145">AVERAGE(AL18:AL19)</f>
        <v>0.11899999999999999</v>
      </c>
      <c r="AN18" s="89">
        <f t="shared" ref="AN18" si="146">30*AM18</f>
        <v>3.57</v>
      </c>
      <c r="AO18" s="52">
        <v>0.318</v>
      </c>
      <c r="AP18" s="89">
        <f t="shared" ref="AP18" si="147">AVERAGE(AO18:AO19)</f>
        <v>0.34299999999999997</v>
      </c>
      <c r="AQ18" s="89">
        <f t="shared" ref="AQ18" si="148">30*AP18</f>
        <v>10.29</v>
      </c>
      <c r="AR18" s="52">
        <v>29.046931407942242</v>
      </c>
      <c r="AS18" s="89">
        <f t="shared" ref="AS18" si="149">AVERAGE(AR18:AR19)</f>
        <v>30.942238267148014</v>
      </c>
      <c r="AT18" s="52">
        <v>57.506618531889288</v>
      </c>
      <c r="AU18" s="89">
        <f t="shared" ref="AU18" si="150">AVERAGE(AT18:AT19)</f>
        <v>58.048134777376646</v>
      </c>
    </row>
    <row r="19" spans="1:47" x14ac:dyDescent="0.35">
      <c r="A19" s="88"/>
      <c r="B19" s="52">
        <v>-9.3765000000000001</v>
      </c>
      <c r="C19" s="89"/>
      <c r="D19" s="52">
        <v>-28.225000000000001</v>
      </c>
      <c r="E19" s="89"/>
      <c r="F19" s="52">
        <v>7.8268000000000004</v>
      </c>
      <c r="G19" s="89"/>
      <c r="H19" s="52">
        <v>7.0909000000000004</v>
      </c>
      <c r="I19" s="89"/>
      <c r="J19" s="52" t="s">
        <v>3</v>
      </c>
      <c r="K19" s="89"/>
      <c r="L19" s="89"/>
      <c r="M19" s="52" t="s">
        <v>3</v>
      </c>
      <c r="N19" s="89"/>
      <c r="O19" s="89"/>
      <c r="P19" s="52">
        <v>-2.674E-2</v>
      </c>
      <c r="Q19" s="89"/>
      <c r="R19" s="52">
        <v>-2.112E-2</v>
      </c>
      <c r="S19" s="89"/>
      <c r="T19" s="52">
        <v>14.159000000000001</v>
      </c>
      <c r="U19" s="89"/>
      <c r="V19" s="52">
        <v>12.19</v>
      </c>
      <c r="W19" s="89"/>
      <c r="X19" s="52">
        <v>-21.027999999999999</v>
      </c>
      <c r="Y19" s="89"/>
      <c r="Z19" s="89"/>
      <c r="AA19" s="52">
        <v>-19.75</v>
      </c>
      <c r="AB19" s="89"/>
      <c r="AC19" s="89"/>
      <c r="AD19" s="52"/>
      <c r="AE19" s="89"/>
      <c r="AF19" s="52"/>
      <c r="AG19" s="89"/>
      <c r="AH19" s="52">
        <v>600.74999999999989</v>
      </c>
      <c r="AI19" s="89"/>
      <c r="AJ19" s="52">
        <v>678.39999999999986</v>
      </c>
      <c r="AK19" s="89"/>
      <c r="AL19" s="52">
        <v>0.12</v>
      </c>
      <c r="AM19" s="89"/>
      <c r="AN19" s="89"/>
      <c r="AO19" s="52">
        <v>0.36799999999999999</v>
      </c>
      <c r="AP19" s="89"/>
      <c r="AQ19" s="89"/>
      <c r="AR19" s="52">
        <v>32.837545126353788</v>
      </c>
      <c r="AS19" s="89"/>
      <c r="AT19" s="52">
        <v>58.589651022864011</v>
      </c>
      <c r="AU19" s="89"/>
    </row>
    <row r="20" spans="1:47" x14ac:dyDescent="0.35">
      <c r="A20" s="88">
        <v>10</v>
      </c>
      <c r="B20" s="52">
        <v>-6.0762999999999998</v>
      </c>
      <c r="C20" s="89">
        <f t="shared" ref="C20" si="151">AVERAGE(B20:B21)</f>
        <v>-6.3127499999999994</v>
      </c>
      <c r="D20" s="52">
        <v>-18.795000000000002</v>
      </c>
      <c r="E20" s="89">
        <f t="shared" ref="E20" si="152">AVERAGE(D20:D21)</f>
        <v>-18.328499999999998</v>
      </c>
      <c r="F20" s="52">
        <v>9.2814999999999994</v>
      </c>
      <c r="G20" s="89">
        <f t="shared" ref="G20" si="153">AVERAGE(F20:F21)</f>
        <v>8.8402499999999993</v>
      </c>
      <c r="H20" s="52">
        <v>8.8352000000000004</v>
      </c>
      <c r="I20" s="89">
        <f t="shared" ref="I20" si="154">AVERAGE(H20:H21)</f>
        <v>9.4665999999999997</v>
      </c>
      <c r="J20" s="52">
        <v>-0.1236</v>
      </c>
      <c r="K20" s="89">
        <f t="shared" ref="K20:N20" si="155">AVERAGE(J20:J21)</f>
        <v>-0.1236</v>
      </c>
      <c r="L20" s="89">
        <f>K20-'Hoja en sucio'!$W$117</f>
        <v>-3.4457142857142839E-2</v>
      </c>
      <c r="M20" s="52">
        <v>-0.1229</v>
      </c>
      <c r="N20" s="89">
        <f t="shared" si="155"/>
        <v>-0.1229</v>
      </c>
      <c r="O20" s="89">
        <f>N20-'Hoja en sucio'!$W$117</f>
        <v>-3.3757142857142833E-2</v>
      </c>
      <c r="P20" s="52">
        <v>-3.2910000000000002E-2</v>
      </c>
      <c r="Q20" s="89">
        <f t="shared" ref="Q20:S20" si="156">AVERAGE(P20:P21)</f>
        <v>-3.5765000000000005E-2</v>
      </c>
      <c r="R20" s="52">
        <v>-1.477E-2</v>
      </c>
      <c r="S20" s="89">
        <f t="shared" si="156"/>
        <v>-1.422E-2</v>
      </c>
      <c r="T20" s="52">
        <v>10.773999999999999</v>
      </c>
      <c r="U20" s="89">
        <f t="shared" ref="U20" si="157">AVERAGE(T20:T21)</f>
        <v>10.818999999999999</v>
      </c>
      <c r="V20" s="52">
        <v>16.899000000000001</v>
      </c>
      <c r="W20" s="89">
        <f t="shared" ref="W20" si="158">AVERAGE(V20:V21)</f>
        <v>14.2315</v>
      </c>
      <c r="X20" s="52">
        <v>-18.207999999999998</v>
      </c>
      <c r="Y20" s="89">
        <f t="shared" ref="Y20" si="159">AVERAGE(X20:X21)</f>
        <v>-18.395499999999998</v>
      </c>
      <c r="Z20" s="89">
        <f>Y20-'Hoja en sucio'!$G$114</f>
        <v>-7.3302499999999995</v>
      </c>
      <c r="AA20" s="52">
        <v>-21.146999999999998</v>
      </c>
      <c r="AB20" s="89">
        <f t="shared" ref="AB20" si="160">AVERAGE(AA20:AA21)</f>
        <v>-21.450499999999998</v>
      </c>
      <c r="AC20" s="89">
        <f>AB20-'Hoja en sucio'!$H$114</f>
        <v>-10.385249999999999</v>
      </c>
      <c r="AD20" s="52">
        <v>1.389E-2</v>
      </c>
      <c r="AE20" s="89">
        <f t="shared" ref="AE20" si="161">AVERAGE(AD20:AD21)</f>
        <v>1.389E-2</v>
      </c>
      <c r="AF20" s="52">
        <v>1.669E-2</v>
      </c>
      <c r="AG20" s="89">
        <f t="shared" ref="AG20:AI20" si="162">AVERAGE(AF20:AF21)</f>
        <v>1.669E-2</v>
      </c>
      <c r="AH20" s="52">
        <v>480.74999999999989</v>
      </c>
      <c r="AI20" s="89">
        <f t="shared" si="162"/>
        <v>474.49999999999989</v>
      </c>
      <c r="AJ20" s="52">
        <v>580.39999999999986</v>
      </c>
      <c r="AK20" s="89">
        <f t="shared" ref="AK20" si="163">AVERAGE(AJ20:AJ21)</f>
        <v>598.39999999999986</v>
      </c>
      <c r="AL20" s="52">
        <v>0.214</v>
      </c>
      <c r="AM20" s="89">
        <f t="shared" ref="AM20" si="164">AVERAGE(AL20:AL21)</f>
        <v>0.22499999999999998</v>
      </c>
      <c r="AN20" s="89">
        <f t="shared" ref="AN20" si="165">30*AM20</f>
        <v>6.7499999999999991</v>
      </c>
      <c r="AO20" s="52">
        <v>0.28699999999999998</v>
      </c>
      <c r="AP20" s="89">
        <f t="shared" ref="AP20" si="166">AVERAGE(AO20:AO21)</f>
        <v>0.30199999999999999</v>
      </c>
      <c r="AQ20" s="89">
        <f t="shared" ref="AQ20" si="167">30*AP20</f>
        <v>9.06</v>
      </c>
      <c r="AR20" s="52">
        <v>26.339350180505416</v>
      </c>
      <c r="AS20" s="89">
        <f t="shared" ref="AS20" si="168">AVERAGE(AR20:AR21)</f>
        <v>26.279181708784598</v>
      </c>
      <c r="AT20" s="52">
        <v>42.645006016847169</v>
      </c>
      <c r="AU20" s="89">
        <f t="shared" ref="AU20" si="169">AVERAGE(AT20:AT21)</f>
        <v>46.646209386281583</v>
      </c>
    </row>
    <row r="21" spans="1:47" x14ac:dyDescent="0.35">
      <c r="A21" s="88"/>
      <c r="B21" s="52">
        <v>-6.5491999999999999</v>
      </c>
      <c r="C21" s="89"/>
      <c r="D21" s="52">
        <v>-17.861999999999998</v>
      </c>
      <c r="E21" s="89"/>
      <c r="F21" s="52">
        <v>8.3989999999999991</v>
      </c>
      <c r="G21" s="89"/>
      <c r="H21" s="52">
        <v>10.098000000000001</v>
      </c>
      <c r="I21" s="89"/>
      <c r="J21" s="52" t="s">
        <v>3</v>
      </c>
      <c r="K21" s="89"/>
      <c r="L21" s="89"/>
      <c r="M21" s="52" t="s">
        <v>3</v>
      </c>
      <c r="N21" s="89"/>
      <c r="O21" s="89"/>
      <c r="P21" s="52">
        <v>-3.8620000000000002E-2</v>
      </c>
      <c r="Q21" s="89"/>
      <c r="R21" s="52">
        <v>-1.367E-2</v>
      </c>
      <c r="S21" s="89"/>
      <c r="T21" s="52">
        <v>10.864000000000001</v>
      </c>
      <c r="U21" s="89"/>
      <c r="V21" s="52">
        <v>11.564</v>
      </c>
      <c r="W21" s="89"/>
      <c r="X21" s="52">
        <v>-18.582999999999998</v>
      </c>
      <c r="Y21" s="89"/>
      <c r="Z21" s="89"/>
      <c r="AA21" s="52">
        <v>-21.754000000000001</v>
      </c>
      <c r="AB21" s="89"/>
      <c r="AC21" s="89"/>
      <c r="AD21" s="52"/>
      <c r="AE21" s="89"/>
      <c r="AF21" s="52"/>
      <c r="AG21" s="89"/>
      <c r="AH21" s="52">
        <v>468.24999999999989</v>
      </c>
      <c r="AI21" s="89"/>
      <c r="AJ21" s="52">
        <v>616.39999999999986</v>
      </c>
      <c r="AK21" s="89"/>
      <c r="AL21" s="52">
        <v>0.23599999999999999</v>
      </c>
      <c r="AM21" s="89"/>
      <c r="AN21" s="89"/>
      <c r="AO21" s="52">
        <v>0.317</v>
      </c>
      <c r="AP21" s="89"/>
      <c r="AQ21" s="89"/>
      <c r="AR21" s="52">
        <v>26.219013237063777</v>
      </c>
      <c r="AS21" s="89"/>
      <c r="AT21" s="52">
        <v>50.647412755716005</v>
      </c>
      <c r="AU21" s="89"/>
    </row>
    <row r="22" spans="1:47" x14ac:dyDescent="0.35">
      <c r="A22" s="88">
        <v>11</v>
      </c>
      <c r="B22" s="52">
        <v>-12.67</v>
      </c>
      <c r="C22" s="89">
        <f t="shared" ref="C22" si="170">AVERAGE(B22:B23)</f>
        <v>-13.353</v>
      </c>
      <c r="D22" s="52">
        <v>-17.329999999999998</v>
      </c>
      <c r="E22" s="89">
        <f t="shared" ref="E22" si="171">AVERAGE(D22:D23)</f>
        <v>-18.183999999999997</v>
      </c>
      <c r="F22" s="52">
        <v>8.4700000000000006</v>
      </c>
      <c r="G22" s="89">
        <f t="shared" ref="G22" si="172">AVERAGE(F22:F23)</f>
        <v>8.546050000000001</v>
      </c>
      <c r="H22" s="52">
        <v>6.6136999999999997</v>
      </c>
      <c r="I22" s="89">
        <f t="shared" ref="I22" si="173">AVERAGE(H22:H23)</f>
        <v>6.8317999999999994</v>
      </c>
      <c r="J22" s="52">
        <v>-0.1764</v>
      </c>
      <c r="K22" s="89">
        <f t="shared" ref="K22:N22" si="174">AVERAGE(J22:J23)</f>
        <v>-0.1764</v>
      </c>
      <c r="L22" s="89">
        <f>K22-'Hoja en sucio'!$W$117</f>
        <v>-8.7257142857142839E-2</v>
      </c>
      <c r="M22" s="52">
        <v>-0.10050000000000001</v>
      </c>
      <c r="N22" s="89">
        <f t="shared" si="174"/>
        <v>-0.10050000000000001</v>
      </c>
      <c r="O22" s="89">
        <f>N22-'Hoja en sucio'!$W$117</f>
        <v>-1.1357142857142843E-2</v>
      </c>
      <c r="P22" s="52">
        <v>-3.2199999999999999E-2</v>
      </c>
      <c r="Q22" s="89">
        <f t="shared" ref="Q22:S22" si="175">AVERAGE(P22:P23)</f>
        <v>-0.03</v>
      </c>
      <c r="R22" s="52">
        <v>-2.0070000000000001E-2</v>
      </c>
      <c r="S22" s="89">
        <f t="shared" si="175"/>
        <v>-2.5835000000000004E-2</v>
      </c>
      <c r="T22" s="52">
        <v>20.254999999999999</v>
      </c>
      <c r="U22" s="89">
        <f t="shared" ref="U22" si="176">AVERAGE(T22:T23)</f>
        <v>19.932000000000002</v>
      </c>
      <c r="V22" s="52">
        <v>26.14</v>
      </c>
      <c r="W22" s="89">
        <f t="shared" ref="W22" si="177">AVERAGE(V22:V23)</f>
        <v>21.353000000000002</v>
      </c>
      <c r="X22" s="52">
        <v>-22.407</v>
      </c>
      <c r="Y22" s="89">
        <f t="shared" ref="Y22" si="178">AVERAGE(X22:X23)</f>
        <v>-23.310000000000002</v>
      </c>
      <c r="Z22" s="89">
        <f>Y22-'Hoja en sucio'!$G$114</f>
        <v>-12.244750000000003</v>
      </c>
      <c r="AA22" s="52">
        <v>-22.882999999999999</v>
      </c>
      <c r="AB22" s="89">
        <f t="shared" ref="AB22" si="179">AVERAGE(AA22:AA23)</f>
        <v>-23.5885</v>
      </c>
      <c r="AC22" s="89">
        <f>AB22-'Hoja en sucio'!$H$114</f>
        <v>-12.523250000000001</v>
      </c>
      <c r="AD22" s="52">
        <v>7.4740000000000006E-3</v>
      </c>
      <c r="AE22" s="89">
        <f t="shared" ref="AE22" si="180">AVERAGE(AD22:AD23)</f>
        <v>7.4740000000000006E-3</v>
      </c>
      <c r="AF22" s="52">
        <v>1.5900000000000001E-2</v>
      </c>
      <c r="AG22" s="89">
        <f t="shared" ref="AG22:AI22" si="181">AVERAGE(AF22:AF23)</f>
        <v>1.5900000000000001E-2</v>
      </c>
      <c r="AH22" s="52">
        <v>168.24999999999991</v>
      </c>
      <c r="AI22" s="89">
        <f t="shared" si="181"/>
        <v>228.24999999999989</v>
      </c>
      <c r="AJ22" s="52">
        <v>522.39999999999986</v>
      </c>
      <c r="AK22" s="89">
        <f t="shared" ref="AK22" si="182">AVERAGE(AJ22:AJ23)</f>
        <v>593.39999999999986</v>
      </c>
      <c r="AL22" s="52">
        <v>0.156</v>
      </c>
      <c r="AM22" s="89">
        <f t="shared" ref="AM22" si="183">AVERAGE(AL22:AL23)</f>
        <v>0.1545</v>
      </c>
      <c r="AN22" s="89">
        <f t="shared" ref="AN22" si="184">30*AM22</f>
        <v>4.6349999999999998</v>
      </c>
      <c r="AO22" s="52">
        <v>0.28000000000000003</v>
      </c>
      <c r="AP22" s="89">
        <f t="shared" ref="AP22" si="185">AVERAGE(AO22:AO23)</f>
        <v>0.29200000000000004</v>
      </c>
      <c r="AQ22" s="89">
        <f t="shared" ref="AQ22" si="186">30*AP22</f>
        <v>8.7600000000000016</v>
      </c>
      <c r="AR22" s="52">
        <v>26.339350180505416</v>
      </c>
      <c r="AS22" s="89">
        <f t="shared" ref="AS22" si="187">AVERAGE(AR22:AR23)</f>
        <v>26.730445246690735</v>
      </c>
      <c r="AT22" s="52">
        <v>33.258724428399518</v>
      </c>
      <c r="AU22" s="89">
        <f t="shared" ref="AU22" si="188">AVERAGE(AT22:AT23)</f>
        <v>33.499398315282789</v>
      </c>
    </row>
    <row r="23" spans="1:47" x14ac:dyDescent="0.35">
      <c r="A23" s="88"/>
      <c r="B23" s="52">
        <v>-14.036</v>
      </c>
      <c r="C23" s="89"/>
      <c r="D23" s="52">
        <v>-19.038</v>
      </c>
      <c r="E23" s="89"/>
      <c r="F23" s="52">
        <v>8.6220999999999997</v>
      </c>
      <c r="G23" s="89"/>
      <c r="H23" s="52">
        <v>7.0499000000000001</v>
      </c>
      <c r="I23" s="89"/>
      <c r="J23" s="52" t="s">
        <v>3</v>
      </c>
      <c r="K23" s="89"/>
      <c r="L23" s="89"/>
      <c r="M23" s="52" t="s">
        <v>3</v>
      </c>
      <c r="N23" s="89"/>
      <c r="O23" s="89"/>
      <c r="P23" s="52">
        <v>-2.7799999999999998E-2</v>
      </c>
      <c r="Q23" s="89"/>
      <c r="R23" s="52">
        <v>-3.1600000000000003E-2</v>
      </c>
      <c r="S23" s="89"/>
      <c r="T23" s="52">
        <v>19.609000000000002</v>
      </c>
      <c r="U23" s="89"/>
      <c r="V23" s="52">
        <v>16.565999999999999</v>
      </c>
      <c r="W23" s="89"/>
      <c r="X23" s="52">
        <v>-24.213000000000001</v>
      </c>
      <c r="Y23" s="89"/>
      <c r="Z23" s="89"/>
      <c r="AA23" s="52">
        <v>-24.294</v>
      </c>
      <c r="AB23" s="89"/>
      <c r="AC23" s="89"/>
      <c r="AD23" s="52"/>
      <c r="AE23" s="89"/>
      <c r="AF23" s="52"/>
      <c r="AG23" s="89"/>
      <c r="AH23" s="52">
        <v>288.24999999999989</v>
      </c>
      <c r="AI23" s="89"/>
      <c r="AJ23" s="52">
        <v>664.39999999999986</v>
      </c>
      <c r="AK23" s="89"/>
      <c r="AL23" s="52">
        <v>0.153</v>
      </c>
      <c r="AM23" s="89"/>
      <c r="AN23" s="89"/>
      <c r="AO23" s="52">
        <v>0.30399999999999999</v>
      </c>
      <c r="AP23" s="89"/>
      <c r="AQ23" s="89"/>
      <c r="AR23" s="52">
        <v>27.121540312876053</v>
      </c>
      <c r="AS23" s="89"/>
      <c r="AT23" s="52">
        <v>33.740072202166061</v>
      </c>
      <c r="AU23" s="89"/>
    </row>
    <row r="24" spans="1:47" x14ac:dyDescent="0.35">
      <c r="A24" s="88">
        <v>12</v>
      </c>
      <c r="B24" s="52">
        <v>-13.846</v>
      </c>
      <c r="C24" s="89">
        <f t="shared" ref="C24" si="189">AVERAGE(B24:B25)</f>
        <v>-14.672499999999999</v>
      </c>
      <c r="D24" s="52">
        <v>-17.43</v>
      </c>
      <c r="E24" s="89">
        <f t="shared" ref="E24" si="190">AVERAGE(D24:D25)</f>
        <v>-18.045999999999999</v>
      </c>
      <c r="F24" s="52">
        <v>8.7272999999999996</v>
      </c>
      <c r="G24" s="89">
        <f t="shared" ref="G24" si="191">AVERAGE(F24:F25)</f>
        <v>9.1403999999999996</v>
      </c>
      <c r="H24" s="52">
        <v>6.6440999999999999</v>
      </c>
      <c r="I24" s="89">
        <f t="shared" ref="I24" si="192">AVERAGE(H24:H25)</f>
        <v>6.82395</v>
      </c>
      <c r="J24" s="52">
        <v>-9.2399999999999996E-2</v>
      </c>
      <c r="K24" s="89">
        <f t="shared" ref="K24:N24" si="193">AVERAGE(J24:J25)</f>
        <v>-9.2399999999999996E-2</v>
      </c>
      <c r="L24" s="89">
        <f>K24-'Hoja en sucio'!$W$117</f>
        <v>-3.2571428571428335E-3</v>
      </c>
      <c r="M24" s="52">
        <v>-7.3380000000000001E-2</v>
      </c>
      <c r="N24" s="89">
        <f t="shared" si="193"/>
        <v>-7.3380000000000001E-2</v>
      </c>
      <c r="O24" s="89">
        <f>N24-'Hoja en sucio'!$W$117</f>
        <v>1.5762857142857162E-2</v>
      </c>
      <c r="P24" s="52">
        <v>-2.6669999999999999E-2</v>
      </c>
      <c r="Q24" s="89">
        <f t="shared" ref="Q24:S24" si="194">AVERAGE(P24:P25)</f>
        <v>-2.9929999999999998E-2</v>
      </c>
      <c r="R24" s="52">
        <v>-2.622E-2</v>
      </c>
      <c r="S24" s="89">
        <f t="shared" si="194"/>
        <v>-2.6529999999999998E-2</v>
      </c>
      <c r="T24" s="52">
        <v>16.116</v>
      </c>
      <c r="U24" s="89">
        <f t="shared" ref="U24" si="195">AVERAGE(T24:T25)</f>
        <v>16.1005</v>
      </c>
      <c r="V24" s="52">
        <v>10.615</v>
      </c>
      <c r="W24" s="89">
        <f t="shared" ref="W24" si="196">AVERAGE(V24:V25)</f>
        <v>8.8832500000000003</v>
      </c>
      <c r="X24" s="52">
        <v>-19.872</v>
      </c>
      <c r="Y24" s="89">
        <f t="shared" ref="Y24" si="197">AVERAGE(X24:X25)</f>
        <v>-20.09</v>
      </c>
      <c r="Z24" s="89">
        <f>Y24-'Hoja en sucio'!$G$114</f>
        <v>-9.0247500000000009</v>
      </c>
      <c r="AA24" s="52">
        <v>-25.417000000000002</v>
      </c>
      <c r="AB24" s="89">
        <f t="shared" ref="AB24" si="198">AVERAGE(AA24:AA25)</f>
        <v>-25.956000000000003</v>
      </c>
      <c r="AC24" s="89">
        <f>AB24-'Hoja en sucio'!$H$114</f>
        <v>-14.890750000000004</v>
      </c>
      <c r="AD24" s="52">
        <v>1.7999999999999999E-2</v>
      </c>
      <c r="AE24" s="89">
        <f t="shared" ref="AE24" si="199">AVERAGE(AD24:AD25)</f>
        <v>1.7999999999999999E-2</v>
      </c>
      <c r="AF24" s="75">
        <v>5.7279999999999996E-3</v>
      </c>
      <c r="AG24" s="89">
        <f>AVERAGE(AF25:AF25)</f>
        <v>2.0379999999999999E-2</v>
      </c>
      <c r="AH24" s="52">
        <v>388.24999999999983</v>
      </c>
      <c r="AI24" s="89">
        <f t="shared" ref="AI24" si="200">AVERAGE(AH24:AH25)</f>
        <v>435.74999999999989</v>
      </c>
      <c r="AJ24" s="52">
        <v>588.39999999999975</v>
      </c>
      <c r="AK24" s="89">
        <f t="shared" ref="AK24" si="201">AVERAGE(AJ24:AJ25)</f>
        <v>643.39999999999986</v>
      </c>
      <c r="AL24" s="52">
        <v>0.122</v>
      </c>
      <c r="AM24" s="89">
        <f t="shared" ref="AM24" si="202">AVERAGE(AL24:AL25)</f>
        <v>0.13250000000000001</v>
      </c>
      <c r="AN24" s="89">
        <f t="shared" ref="AN24" si="203">30*AM24</f>
        <v>3.9750000000000001</v>
      </c>
      <c r="AO24" s="52">
        <v>0.36299999999999999</v>
      </c>
      <c r="AP24" s="89">
        <f t="shared" ref="AP24" si="204">AVERAGE(AO24:AO25)</f>
        <v>0.3765</v>
      </c>
      <c r="AQ24" s="89">
        <f t="shared" ref="AQ24" si="205">30*AP24</f>
        <v>11.295</v>
      </c>
      <c r="AR24" s="52">
        <v>19.901323706377859</v>
      </c>
      <c r="AS24" s="89">
        <f t="shared" ref="AS24" si="206">AVERAGE(AR24:AR25)</f>
        <v>20.412755716004817</v>
      </c>
      <c r="AT24" s="52">
        <v>32.596871239470516</v>
      </c>
      <c r="AU24" s="89">
        <f t="shared" ref="AU24" si="207">AVERAGE(AT24:AT25)</f>
        <v>33.07821901323706</v>
      </c>
    </row>
    <row r="25" spans="1:47" x14ac:dyDescent="0.35">
      <c r="A25" s="88"/>
      <c r="B25" s="52">
        <v>-15.499000000000001</v>
      </c>
      <c r="C25" s="89"/>
      <c r="D25" s="52">
        <v>-18.661999999999999</v>
      </c>
      <c r="E25" s="89"/>
      <c r="F25" s="52">
        <v>9.5534999999999997</v>
      </c>
      <c r="G25" s="89"/>
      <c r="H25" s="52">
        <v>7.0038</v>
      </c>
      <c r="I25" s="89"/>
      <c r="J25" s="52" t="s">
        <v>3</v>
      </c>
      <c r="K25" s="89"/>
      <c r="L25" s="89"/>
      <c r="M25" s="52" t="s">
        <v>3</v>
      </c>
      <c r="N25" s="89"/>
      <c r="O25" s="89"/>
      <c r="P25" s="52">
        <v>-3.3189999999999997E-2</v>
      </c>
      <c r="Q25" s="89"/>
      <c r="R25" s="52">
        <v>-2.6839999999999999E-2</v>
      </c>
      <c r="S25" s="89"/>
      <c r="T25" s="52">
        <v>16.085000000000001</v>
      </c>
      <c r="U25" s="89"/>
      <c r="V25" s="52">
        <v>7.1515000000000004</v>
      </c>
      <c r="W25" s="89"/>
      <c r="X25" s="52">
        <v>-20.308</v>
      </c>
      <c r="Y25" s="89"/>
      <c r="Z25" s="89"/>
      <c r="AA25" s="52">
        <v>-26.495000000000001</v>
      </c>
      <c r="AB25" s="89"/>
      <c r="AC25" s="89"/>
      <c r="AD25" s="52"/>
      <c r="AE25" s="89"/>
      <c r="AF25" s="52">
        <v>2.0379999999999999E-2</v>
      </c>
      <c r="AG25" s="89"/>
      <c r="AH25" s="52">
        <v>483.24999999999989</v>
      </c>
      <c r="AI25" s="89"/>
      <c r="AJ25" s="52">
        <v>698.39999999999986</v>
      </c>
      <c r="AK25" s="89"/>
      <c r="AL25" s="52">
        <v>0.14299999999999999</v>
      </c>
      <c r="AM25" s="89"/>
      <c r="AN25" s="89"/>
      <c r="AO25" s="52">
        <v>0.39</v>
      </c>
      <c r="AP25" s="89"/>
      <c r="AQ25" s="89"/>
      <c r="AR25" s="52">
        <v>20.924187725631771</v>
      </c>
      <c r="AS25" s="89"/>
      <c r="AT25" s="52">
        <v>33.559566787003604</v>
      </c>
      <c r="AU25" s="89"/>
    </row>
    <row r="26" spans="1:47" x14ac:dyDescent="0.35">
      <c r="A26" s="88">
        <v>13</v>
      </c>
      <c r="B26" s="52">
        <v>-14.518000000000001</v>
      </c>
      <c r="C26" s="89">
        <f t="shared" ref="C26" si="208">AVERAGE(B26:B27)</f>
        <v>-14.979500000000002</v>
      </c>
      <c r="D26" s="52">
        <v>-17.443000000000001</v>
      </c>
      <c r="E26" s="89">
        <f t="shared" ref="E26" si="209">AVERAGE(D26:D27)</f>
        <v>-17.376000000000001</v>
      </c>
      <c r="F26" s="52">
        <v>8.7143999999999995</v>
      </c>
      <c r="G26" s="89">
        <f t="shared" ref="G26" si="210">AVERAGE(F26:F27)</f>
        <v>8.577</v>
      </c>
      <c r="H26" s="52">
        <v>7.2222999999999997</v>
      </c>
      <c r="I26" s="89">
        <f t="shared" ref="I26" si="211">AVERAGE(H26:H27)</f>
        <v>7.2577999999999996</v>
      </c>
      <c r="J26" s="52">
        <v>-0.33679999999999999</v>
      </c>
      <c r="K26" s="89">
        <f t="shared" ref="K26:N26" si="212">AVERAGE(J26:J27)</f>
        <v>-0.33679999999999999</v>
      </c>
      <c r="L26" s="89">
        <f>K26-'Hoja en sucio'!$W$117</f>
        <v>-0.24765714285714283</v>
      </c>
      <c r="M26" s="52">
        <v>-0.1067</v>
      </c>
      <c r="N26" s="89">
        <f t="shared" si="212"/>
        <v>-0.1067</v>
      </c>
      <c r="O26" s="89">
        <f>N26-'Hoja en sucio'!$W$117</f>
        <v>-1.7557142857142841E-2</v>
      </c>
      <c r="P26" s="52">
        <v>-2.724E-2</v>
      </c>
      <c r="Q26" s="89">
        <f t="shared" ref="Q26:S26" si="213">AVERAGE(P26:P27)</f>
        <v>-2.7779999999999999E-2</v>
      </c>
      <c r="R26" s="52">
        <v>-4.9140000000000003E-2</v>
      </c>
      <c r="S26" s="89">
        <f t="shared" si="213"/>
        <v>-3.2164999999999999E-2</v>
      </c>
      <c r="T26" s="52">
        <v>18.818000000000001</v>
      </c>
      <c r="U26" s="89">
        <f t="shared" ref="U26" si="214">AVERAGE(T26:T27)</f>
        <v>19.757000000000001</v>
      </c>
      <c r="V26" s="52">
        <v>21.715</v>
      </c>
      <c r="W26" s="89">
        <f t="shared" ref="W26" si="215">AVERAGE(V26:V27)</f>
        <v>18.097000000000001</v>
      </c>
      <c r="X26" s="52">
        <v>-20.855</v>
      </c>
      <c r="Y26" s="89">
        <f t="shared" ref="Y26" si="216">AVERAGE(X26:X27)</f>
        <v>-20.134999999999998</v>
      </c>
      <c r="Z26" s="89">
        <f>Y26-'Hoja en sucio'!$G$114</f>
        <v>-9.0697499999999991</v>
      </c>
      <c r="AA26" s="52">
        <v>-23.370999999999999</v>
      </c>
      <c r="AB26" s="89">
        <f t="shared" ref="AB26" si="217">AVERAGE(AA26:AA27)</f>
        <v>-25.156500000000001</v>
      </c>
      <c r="AC26" s="89">
        <f>AB26-'Hoja en sucio'!$H$114</f>
        <v>-14.091250000000002</v>
      </c>
      <c r="AD26" s="52">
        <v>6.9470000000000001E-3</v>
      </c>
      <c r="AE26" s="89">
        <f t="shared" ref="AE26" si="218">AVERAGE(AD26:AD27)</f>
        <v>6.9470000000000001E-3</v>
      </c>
      <c r="AF26" s="52">
        <v>2.3140000000000001E-3</v>
      </c>
      <c r="AG26" s="89">
        <f t="shared" ref="AG26:AI26" si="219">AVERAGE(AF26:AF27)</f>
        <v>6.6270000000000001E-3</v>
      </c>
      <c r="AH26" s="52">
        <v>240.74999999999997</v>
      </c>
      <c r="AI26" s="89">
        <f t="shared" si="219"/>
        <v>283.24999999999994</v>
      </c>
      <c r="AJ26" s="52">
        <v>544.39999999999975</v>
      </c>
      <c r="AK26" s="89">
        <f t="shared" ref="AK26" si="220">AVERAGE(AJ26:AJ27)</f>
        <v>560.39999999999986</v>
      </c>
      <c r="AL26" s="52">
        <v>0.13600000000000001</v>
      </c>
      <c r="AM26" s="89">
        <f t="shared" ref="AM26" si="221">AVERAGE(AL26:AL27)</f>
        <v>0.17949999999999999</v>
      </c>
      <c r="AN26" s="89">
        <f t="shared" ref="AN26" si="222">30*AM26</f>
        <v>5.3849999999999998</v>
      </c>
      <c r="AO26" s="52">
        <v>0.33300000000000002</v>
      </c>
      <c r="AP26" s="89">
        <f t="shared" ref="AP26" si="223">AVERAGE(AO26:AO27)</f>
        <v>0.35150000000000003</v>
      </c>
      <c r="AQ26" s="89">
        <f t="shared" ref="AQ26" si="224">30*AP26</f>
        <v>10.545000000000002</v>
      </c>
      <c r="AR26" s="52">
        <v>19.901323706377859</v>
      </c>
      <c r="AS26" s="89">
        <f t="shared" ref="AS26" si="225">AVERAGE(AR26:AR27)</f>
        <v>20.503008423586042</v>
      </c>
      <c r="AT26" s="52">
        <v>31.393501805054154</v>
      </c>
      <c r="AU26" s="89">
        <f t="shared" ref="AU26" si="226">AVERAGE(AT26:AT27)</f>
        <v>31.363417569193743</v>
      </c>
    </row>
    <row r="27" spans="1:47" x14ac:dyDescent="0.35">
      <c r="A27" s="88"/>
      <c r="B27" s="52">
        <v>-15.441000000000001</v>
      </c>
      <c r="C27" s="89"/>
      <c r="D27" s="52">
        <v>-17.309000000000001</v>
      </c>
      <c r="E27" s="89"/>
      <c r="F27" s="52">
        <v>8.4396000000000004</v>
      </c>
      <c r="G27" s="89"/>
      <c r="H27" s="52">
        <v>7.2933000000000003</v>
      </c>
      <c r="I27" s="89"/>
      <c r="J27" s="52" t="s">
        <v>3</v>
      </c>
      <c r="K27" s="89"/>
      <c r="L27" s="89"/>
      <c r="M27" s="52" t="s">
        <v>3</v>
      </c>
      <c r="N27" s="89"/>
      <c r="O27" s="89"/>
      <c r="P27" s="52">
        <v>-2.8320000000000001E-2</v>
      </c>
      <c r="Q27" s="89"/>
      <c r="R27" s="52">
        <v>-1.519E-2</v>
      </c>
      <c r="S27" s="89"/>
      <c r="T27" s="52">
        <v>20.696000000000002</v>
      </c>
      <c r="U27" s="89"/>
      <c r="V27" s="52">
        <v>14.478999999999999</v>
      </c>
      <c r="W27" s="89"/>
      <c r="X27" s="52">
        <v>-19.414999999999999</v>
      </c>
      <c r="Y27" s="89"/>
      <c r="Z27" s="89"/>
      <c r="AA27" s="52">
        <v>-26.942</v>
      </c>
      <c r="AB27" s="89"/>
      <c r="AC27" s="89"/>
      <c r="AD27" s="52"/>
      <c r="AE27" s="89"/>
      <c r="AF27" s="52">
        <v>1.094E-2</v>
      </c>
      <c r="AG27" s="89"/>
      <c r="AH27" s="52">
        <v>325.74999999999989</v>
      </c>
      <c r="AI27" s="89"/>
      <c r="AJ27" s="52">
        <v>576.4</v>
      </c>
      <c r="AK27" s="89"/>
      <c r="AL27" s="52">
        <v>0.223</v>
      </c>
      <c r="AM27" s="89"/>
      <c r="AN27" s="89"/>
      <c r="AO27" s="52">
        <v>0.37</v>
      </c>
      <c r="AP27" s="89"/>
      <c r="AQ27" s="89"/>
      <c r="AR27" s="52">
        <v>21.104693140794225</v>
      </c>
      <c r="AS27" s="89"/>
      <c r="AT27" s="52">
        <v>31.333333333333336</v>
      </c>
      <c r="AU27" s="89"/>
    </row>
    <row r="28" spans="1:47" x14ac:dyDescent="0.35">
      <c r="A28" s="88">
        <v>14</v>
      </c>
      <c r="B28" s="52">
        <v>-9.2308000000000003</v>
      </c>
      <c r="C28" s="89">
        <f t="shared" ref="C28" si="227">AVERAGE(B28:B29)</f>
        <v>-9.6249000000000002</v>
      </c>
      <c r="D28" s="52">
        <v>-17.93</v>
      </c>
      <c r="E28" s="89">
        <f t="shared" ref="E28" si="228">AVERAGE(D28:D29)</f>
        <v>-18.321999999999999</v>
      </c>
      <c r="F28" s="52">
        <v>10.406000000000001</v>
      </c>
      <c r="G28" s="89">
        <f t="shared" ref="G28" si="229">AVERAGE(F28:F29)</f>
        <v>10.125</v>
      </c>
      <c r="H28" s="52">
        <v>7.1106999999999996</v>
      </c>
      <c r="I28" s="89">
        <f t="shared" ref="I28" si="230">AVERAGE(H28:H29)</f>
        <v>7.4283999999999999</v>
      </c>
      <c r="J28" s="52">
        <v>-0.12470000000000001</v>
      </c>
      <c r="K28" s="89">
        <f t="shared" ref="K28:N28" si="231">AVERAGE(J28:J29)</f>
        <v>-0.12470000000000001</v>
      </c>
      <c r="L28" s="89">
        <f>K28-'Hoja en sucio'!$W$117</f>
        <v>-3.5557142857142843E-2</v>
      </c>
      <c r="M28" s="52">
        <v>-0.12230000000000001</v>
      </c>
      <c r="N28" s="89">
        <f t="shared" si="231"/>
        <v>-0.12230000000000001</v>
      </c>
      <c r="O28" s="89">
        <f>N28-'Hoja en sucio'!$W$117</f>
        <v>-3.3157142857142843E-2</v>
      </c>
      <c r="P28" s="52">
        <v>-2.5579999999999999E-2</v>
      </c>
      <c r="Q28" s="89">
        <f t="shared" ref="Q28:S28" si="232">AVERAGE(P28:P29)</f>
        <v>-2.9954999999999999E-2</v>
      </c>
      <c r="R28" s="52">
        <v>-7.5200000000000003E-2</v>
      </c>
      <c r="S28" s="89">
        <f t="shared" si="232"/>
        <v>-5.0619999999999998E-2</v>
      </c>
      <c r="T28" s="52">
        <v>8.9475999999999996</v>
      </c>
      <c r="U28" s="89">
        <f t="shared" ref="U28" si="233">AVERAGE(T28:T29)</f>
        <v>9.7968000000000011</v>
      </c>
      <c r="V28" s="52">
        <v>8.4856999999999996</v>
      </c>
      <c r="W28" s="89">
        <f t="shared" ref="W28" si="234">AVERAGE(V28:V29)</f>
        <v>6.9963999999999995</v>
      </c>
      <c r="X28" s="52">
        <v>-17.335999999999999</v>
      </c>
      <c r="Y28" s="89">
        <f t="shared" ref="Y28" si="235">AVERAGE(X28:X29)</f>
        <v>-16.744999999999997</v>
      </c>
      <c r="Z28" s="89">
        <f>Y28-'Hoja en sucio'!$G$114</f>
        <v>-5.6797499999999985</v>
      </c>
      <c r="AA28" s="52">
        <v>-23.029</v>
      </c>
      <c r="AB28" s="89">
        <f t="shared" ref="AB28" si="236">AVERAGE(AA28:AA29)</f>
        <v>-23.063000000000002</v>
      </c>
      <c r="AC28" s="89">
        <f>AB28-'Hoja en sucio'!$H$114</f>
        <v>-11.997750000000003</v>
      </c>
      <c r="AD28" s="52">
        <v>2.65E-3</v>
      </c>
      <c r="AE28" s="89">
        <f t="shared" ref="AE28" si="237">AVERAGE(AD28:AD29)</f>
        <v>2.65E-3</v>
      </c>
      <c r="AF28" s="52">
        <v>9.2929999999999992E-3</v>
      </c>
      <c r="AG28" s="89">
        <f t="shared" ref="AG28:AI28" si="238">AVERAGE(AF28:AF29)</f>
        <v>9.2929999999999992E-3</v>
      </c>
      <c r="AH28" s="52">
        <v>308.24999999999989</v>
      </c>
      <c r="AI28" s="89">
        <f t="shared" si="238"/>
        <v>311.99999999999989</v>
      </c>
      <c r="AJ28" s="52">
        <v>722.4</v>
      </c>
      <c r="AK28" s="89">
        <f t="shared" ref="AK28" si="239">AVERAGE(AJ28:AJ29)</f>
        <v>724.39999999999986</v>
      </c>
      <c r="AL28" s="52">
        <v>2.9000000000000001E-2</v>
      </c>
      <c r="AM28" s="89">
        <f t="shared" ref="AM28" si="240">AVERAGE(AL28:AL29)</f>
        <v>0.11799999999999999</v>
      </c>
      <c r="AN28" s="89">
        <f t="shared" ref="AN28" si="241">30*AM28</f>
        <v>3.54</v>
      </c>
      <c r="AO28" s="52">
        <v>0.31</v>
      </c>
      <c r="AP28" s="89">
        <f t="shared" ref="AP28" si="242">AVERAGE(AO28:AO29)</f>
        <v>0.32350000000000001</v>
      </c>
      <c r="AQ28" s="89">
        <f t="shared" ref="AQ28" si="243">30*AP28</f>
        <v>9.7050000000000001</v>
      </c>
      <c r="AR28" s="52">
        <v>25.858002406738873</v>
      </c>
      <c r="AS28" s="89">
        <f t="shared" ref="AS28" si="244">AVERAGE(AR28:AR29)</f>
        <v>23.15042117930205</v>
      </c>
      <c r="AT28" s="52">
        <v>32.657039711191331</v>
      </c>
      <c r="AU28" s="89">
        <f t="shared" ref="AU28" si="245">AVERAGE(AT28:AT29)</f>
        <v>35.936221419975929</v>
      </c>
    </row>
    <row r="29" spans="1:47" x14ac:dyDescent="0.35">
      <c r="A29" s="88"/>
      <c r="B29" s="52">
        <v>-10.019</v>
      </c>
      <c r="C29" s="89"/>
      <c r="D29" s="52">
        <v>-18.713999999999999</v>
      </c>
      <c r="E29" s="89"/>
      <c r="F29" s="52">
        <v>9.8439999999999994</v>
      </c>
      <c r="G29" s="89"/>
      <c r="H29" s="52">
        <v>7.7461000000000002</v>
      </c>
      <c r="I29" s="89"/>
      <c r="J29" s="52" t="s">
        <v>3</v>
      </c>
      <c r="K29" s="89"/>
      <c r="L29" s="89"/>
      <c r="M29" s="52" t="s">
        <v>3</v>
      </c>
      <c r="N29" s="89"/>
      <c r="O29" s="89"/>
      <c r="P29" s="52">
        <v>-3.4329999999999999E-2</v>
      </c>
      <c r="Q29" s="89"/>
      <c r="R29" s="52">
        <v>-2.6040000000000001E-2</v>
      </c>
      <c r="S29" s="89"/>
      <c r="T29" s="52">
        <v>10.646000000000001</v>
      </c>
      <c r="U29" s="89"/>
      <c r="V29" s="52">
        <v>5.5071000000000003</v>
      </c>
      <c r="W29" s="89"/>
      <c r="X29" s="52">
        <v>-16.154</v>
      </c>
      <c r="Y29" s="89"/>
      <c r="Z29" s="89"/>
      <c r="AA29" s="52">
        <v>-23.097000000000001</v>
      </c>
      <c r="AB29" s="89"/>
      <c r="AC29" s="89"/>
      <c r="AD29" s="52"/>
      <c r="AE29" s="89"/>
      <c r="AF29" s="52"/>
      <c r="AG29" s="89"/>
      <c r="AH29" s="52">
        <v>315.74999999999989</v>
      </c>
      <c r="AI29" s="89"/>
      <c r="AJ29" s="52">
        <v>726.39999999999986</v>
      </c>
      <c r="AK29" s="89"/>
      <c r="AL29" s="52">
        <v>0.20699999999999999</v>
      </c>
      <c r="AM29" s="89"/>
      <c r="AN29" s="89"/>
      <c r="AO29" s="52">
        <v>0.33700000000000002</v>
      </c>
      <c r="AP29" s="89"/>
      <c r="AQ29" s="89"/>
      <c r="AR29" s="52">
        <v>20.442839951865224</v>
      </c>
      <c r="AS29" s="89"/>
      <c r="AT29" s="52">
        <v>39.215403128760528</v>
      </c>
      <c r="AU29" s="89"/>
    </row>
    <row r="30" spans="1:47" x14ac:dyDescent="0.35">
      <c r="A30" s="88">
        <v>15</v>
      </c>
      <c r="B30" s="52">
        <v>-14.287000000000001</v>
      </c>
      <c r="C30" s="89">
        <f t="shared" ref="C30" si="246">AVERAGE(B30:B31)</f>
        <v>-13.1775</v>
      </c>
      <c r="D30" s="52">
        <v>-20.004999999999999</v>
      </c>
      <c r="E30" s="89">
        <f t="shared" ref="E30" si="247">AVERAGE(D30:D31)</f>
        <v>-18.927999999999997</v>
      </c>
      <c r="F30" s="52">
        <v>9.6664999999999992</v>
      </c>
      <c r="G30" s="89">
        <f t="shared" ref="G30" si="248">AVERAGE(F30:F31)</f>
        <v>9.4486500000000007</v>
      </c>
      <c r="H30" s="52">
        <v>8.1494999999999997</v>
      </c>
      <c r="I30" s="89">
        <f t="shared" ref="I30" si="249">AVERAGE(H30:H31)</f>
        <v>8.5852500000000003</v>
      </c>
      <c r="J30" s="52">
        <v>-8.4870000000000001E-2</v>
      </c>
      <c r="K30" s="89">
        <f t="shared" ref="K30:N30" si="250">AVERAGE(J30:J31)</f>
        <v>-8.4870000000000001E-2</v>
      </c>
      <c r="L30" s="89">
        <f>K30-'Hoja en sucio'!$W$117</f>
        <v>4.2728571428571616E-3</v>
      </c>
      <c r="M30" s="52">
        <v>-0.13739999999999999</v>
      </c>
      <c r="N30" s="89">
        <f t="shared" si="250"/>
        <v>-0.13739999999999999</v>
      </c>
      <c r="O30" s="89">
        <f>N30-'Hoja en sucio'!$W$117</f>
        <v>-4.8257142857142832E-2</v>
      </c>
      <c r="P30" s="52">
        <v>-2.4250000000000001E-2</v>
      </c>
      <c r="Q30" s="89">
        <f t="shared" ref="Q30:S30" si="251">AVERAGE(P30:P31)</f>
        <v>-2.7200000000000002E-2</v>
      </c>
      <c r="R30" s="52">
        <v>-0.03</v>
      </c>
      <c r="S30" s="89">
        <f t="shared" si="251"/>
        <v>-2.3495000000000002E-2</v>
      </c>
      <c r="T30" s="52">
        <v>19.47</v>
      </c>
      <c r="U30" s="89">
        <f t="shared" ref="U30" si="252">AVERAGE(T30:T31)</f>
        <v>19.232999999999997</v>
      </c>
      <c r="V30" s="52">
        <v>14.819000000000001</v>
      </c>
      <c r="W30" s="89">
        <f t="shared" ref="W30" si="253">AVERAGE(V30:V31)</f>
        <v>12.328600000000002</v>
      </c>
      <c r="X30" s="52">
        <v>-18.238</v>
      </c>
      <c r="Y30" s="89">
        <f t="shared" ref="Y30" si="254">AVERAGE(X30:X31)</f>
        <v>-18.577999999999999</v>
      </c>
      <c r="Z30" s="89">
        <f>Y30-'Hoja en sucio'!$G$114</f>
        <v>-7.5127500000000005</v>
      </c>
      <c r="AA30" s="52">
        <v>-27.145</v>
      </c>
      <c r="AB30" s="89">
        <f t="shared" ref="AB30" si="255">AVERAGE(AA30:AA31)</f>
        <v>-27.502499999999998</v>
      </c>
      <c r="AC30" s="89">
        <f>AB30-'Hoja en sucio'!$H$114</f>
        <v>-16.437249999999999</v>
      </c>
      <c r="AD30" s="52">
        <v>3.6090000000000002E-3</v>
      </c>
      <c r="AE30" s="89">
        <f t="shared" ref="AE30" si="256">AVERAGE(AD30:AD31)</f>
        <v>3.6090000000000002E-3</v>
      </c>
      <c r="AF30" s="52">
        <v>1.0319999999999999E-2</v>
      </c>
      <c r="AG30" s="89">
        <f t="shared" ref="AG30:AI30" si="257">AVERAGE(AF30:AF31)</f>
        <v>1.0319999999999999E-2</v>
      </c>
      <c r="AH30" s="52">
        <v>165.74999999999991</v>
      </c>
      <c r="AI30" s="89">
        <f t="shared" si="257"/>
        <v>140.74999999999989</v>
      </c>
      <c r="AJ30" s="52">
        <v>430.4</v>
      </c>
      <c r="AK30" s="89">
        <f t="shared" ref="AK30" si="258">AVERAGE(AJ30:AJ31)</f>
        <v>448.4</v>
      </c>
      <c r="AL30" s="52">
        <v>0.153</v>
      </c>
      <c r="AM30" s="89">
        <f t="shared" ref="AM30" si="259">AVERAGE(AL30:AL31)</f>
        <v>0.17399999999999999</v>
      </c>
      <c r="AN30" s="89">
        <f t="shared" ref="AN30" si="260">30*AM30</f>
        <v>5.22</v>
      </c>
      <c r="AO30" s="52">
        <v>0.32500000000000001</v>
      </c>
      <c r="AP30" s="89">
        <f t="shared" ref="AP30" si="261">AVERAGE(AO30:AO31)</f>
        <v>0.33400000000000002</v>
      </c>
      <c r="AQ30" s="89">
        <f t="shared" ref="AQ30" si="262">30*AP30</f>
        <v>10.020000000000001</v>
      </c>
      <c r="AR30" s="52">
        <v>17.614921780986766</v>
      </c>
      <c r="AS30" s="89">
        <f t="shared" ref="AS30" si="263">AVERAGE(AR30:AR31)</f>
        <v>18.367027677496992</v>
      </c>
      <c r="AT30" s="52">
        <v>41.501805054151625</v>
      </c>
      <c r="AU30" s="89">
        <f t="shared" ref="AU30" si="264">AVERAGE(AT30:AT31)</f>
        <v>41.561973525872446</v>
      </c>
    </row>
    <row r="31" spans="1:47" x14ac:dyDescent="0.35">
      <c r="A31" s="88"/>
      <c r="B31" s="52">
        <v>-12.068</v>
      </c>
      <c r="C31" s="89"/>
      <c r="D31" s="52">
        <v>-17.850999999999999</v>
      </c>
      <c r="E31" s="89"/>
      <c r="F31" s="52">
        <v>9.2308000000000003</v>
      </c>
      <c r="G31" s="89"/>
      <c r="H31" s="52">
        <v>9.0210000000000008</v>
      </c>
      <c r="I31" s="89"/>
      <c r="J31" s="52" t="s">
        <v>3</v>
      </c>
      <c r="K31" s="89"/>
      <c r="L31" s="89"/>
      <c r="M31" s="52" t="s">
        <v>3</v>
      </c>
      <c r="N31" s="89"/>
      <c r="O31" s="89"/>
      <c r="P31" s="52">
        <v>-3.015E-2</v>
      </c>
      <c r="Q31" s="89"/>
      <c r="R31" s="52">
        <v>-1.6990000000000002E-2</v>
      </c>
      <c r="S31" s="89"/>
      <c r="T31" s="52">
        <v>18.995999999999999</v>
      </c>
      <c r="U31" s="89"/>
      <c r="V31" s="52">
        <v>9.8382000000000005</v>
      </c>
      <c r="W31" s="89"/>
      <c r="X31" s="52">
        <v>-18.917999999999999</v>
      </c>
      <c r="Y31" s="89"/>
      <c r="Z31" s="89"/>
      <c r="AA31" s="52">
        <v>-27.86</v>
      </c>
      <c r="AB31" s="89"/>
      <c r="AC31" s="89"/>
      <c r="AD31" s="52"/>
      <c r="AE31" s="89"/>
      <c r="AF31" s="52"/>
      <c r="AG31" s="89"/>
      <c r="AH31" s="52">
        <v>115.74999999999987</v>
      </c>
      <c r="AI31" s="89"/>
      <c r="AJ31" s="52">
        <v>466.39999999999992</v>
      </c>
      <c r="AK31" s="89"/>
      <c r="AL31" s="52">
        <v>0.19500000000000001</v>
      </c>
      <c r="AM31" s="89"/>
      <c r="AN31" s="89"/>
      <c r="AO31" s="52">
        <v>0.34300000000000003</v>
      </c>
      <c r="AP31" s="89"/>
      <c r="AQ31" s="89"/>
      <c r="AR31" s="52">
        <v>19.119133574007222</v>
      </c>
      <c r="AS31" s="89"/>
      <c r="AT31" s="52">
        <v>41.62214199759326</v>
      </c>
      <c r="AU31" s="89"/>
    </row>
    <row r="32" spans="1:47" x14ac:dyDescent="0.35">
      <c r="A32" s="88">
        <v>16</v>
      </c>
      <c r="B32" s="52">
        <v>-2.5548999999999999</v>
      </c>
      <c r="C32" s="89">
        <f t="shared" ref="C32" si="265">AVERAGE(B32:B33)</f>
        <v>-4.8658000000000001</v>
      </c>
      <c r="D32" s="52">
        <v>-17.561</v>
      </c>
      <c r="E32" s="89">
        <f t="shared" ref="E32" si="266">AVERAGE(D32:D33)</f>
        <v>-17.875500000000002</v>
      </c>
      <c r="F32" s="52">
        <v>8.0744000000000007</v>
      </c>
      <c r="G32" s="89">
        <f t="shared" ref="G32" si="267">AVERAGE(F32:F33)</f>
        <v>8.2417499999999997</v>
      </c>
      <c r="H32" s="52">
        <v>5.9161000000000001</v>
      </c>
      <c r="I32" s="89">
        <f t="shared" ref="I32" si="268">AVERAGE(H32:H33)</f>
        <v>6.2420499999999999</v>
      </c>
      <c r="J32" s="52">
        <v>-0.1096</v>
      </c>
      <c r="K32" s="89">
        <f t="shared" ref="K32:N32" si="269">AVERAGE(J32:J33)</f>
        <v>-0.1096</v>
      </c>
      <c r="L32" s="89">
        <f>K32-'Hoja en sucio'!$W$117</f>
        <v>-2.045714285714284E-2</v>
      </c>
      <c r="M32" s="52">
        <v>-0.1109</v>
      </c>
      <c r="N32" s="89">
        <f t="shared" si="269"/>
        <v>-0.1109</v>
      </c>
      <c r="O32" s="89">
        <f>N32-'Hoja en sucio'!$W$117</f>
        <v>-2.1757142857142836E-2</v>
      </c>
      <c r="P32" s="52">
        <v>-3.159E-2</v>
      </c>
      <c r="Q32" s="89">
        <f t="shared" ref="Q32:S32" si="270">AVERAGE(P32:P33)</f>
        <v>-3.6860000000000004E-2</v>
      </c>
      <c r="R32" s="52">
        <v>-3.9199999999999999E-2</v>
      </c>
      <c r="S32" s="89">
        <f t="shared" si="270"/>
        <v>-3.0809999999999997E-2</v>
      </c>
      <c r="T32" s="52">
        <v>16.324000000000002</v>
      </c>
      <c r="U32" s="89">
        <f t="shared" ref="U32" si="271">AVERAGE(T32:T33)</f>
        <v>16.069000000000003</v>
      </c>
      <c r="V32" s="52">
        <v>7.2720000000000002</v>
      </c>
      <c r="W32" s="89">
        <f t="shared" ref="W32" si="272">AVERAGE(V32:V33)</f>
        <v>6.9867500000000007</v>
      </c>
      <c r="X32" s="52">
        <v>-20.614999999999998</v>
      </c>
      <c r="Y32" s="89">
        <f t="shared" ref="Y32" si="273">AVERAGE(X32:X33)</f>
        <v>-19.005499999999998</v>
      </c>
      <c r="Z32" s="89">
        <f>Y32-'Hoja en sucio'!$G$114</f>
        <v>-7.9402499999999989</v>
      </c>
      <c r="AA32" s="52">
        <v>-23.507999999999999</v>
      </c>
      <c r="AB32" s="89">
        <f t="shared" ref="AB32" si="274">AVERAGE(AA32:AA33)</f>
        <v>-23.748999999999999</v>
      </c>
      <c r="AC32" s="89">
        <f>AB32-'Hoja en sucio'!$H$114</f>
        <v>-12.68375</v>
      </c>
      <c r="AD32" s="52">
        <v>5.3680000000000004E-3</v>
      </c>
      <c r="AE32" s="89">
        <f t="shared" ref="AE32" si="275">AVERAGE(AD32:AD33)</f>
        <v>5.3680000000000004E-3</v>
      </c>
      <c r="AF32" s="52">
        <v>1.414E-2</v>
      </c>
      <c r="AG32" s="89">
        <f t="shared" ref="AG32:AI32" si="276">AVERAGE(AF32:AF33)</f>
        <v>2.0639999999999999E-2</v>
      </c>
      <c r="AH32" s="52">
        <v>530.75</v>
      </c>
      <c r="AI32" s="89">
        <f t="shared" si="276"/>
        <v>506.99999999999994</v>
      </c>
      <c r="AJ32" s="52">
        <v>566.39999999999986</v>
      </c>
      <c r="AK32" s="89">
        <f t="shared" ref="AK32" si="277">AVERAGE(AJ32:AJ33)</f>
        <v>543.39999999999986</v>
      </c>
      <c r="AL32" s="52">
        <v>0.17100000000000001</v>
      </c>
      <c r="AM32" s="89">
        <f t="shared" ref="AM32" si="278">AVERAGE(AL32:AL33)</f>
        <v>0.23049999999999998</v>
      </c>
      <c r="AN32" s="89">
        <f t="shared" ref="AN32" si="279">30*AM32</f>
        <v>6.9149999999999991</v>
      </c>
      <c r="AO32" s="52">
        <v>0.40899999999999997</v>
      </c>
      <c r="AP32" s="89">
        <f t="shared" ref="AP32" si="280">AVERAGE(AO32:AO33)</f>
        <v>0.42</v>
      </c>
      <c r="AQ32" s="89">
        <f t="shared" ref="AQ32" si="281">30*AP32</f>
        <v>12.6</v>
      </c>
      <c r="AR32" s="52">
        <v>25.015643802647414</v>
      </c>
      <c r="AS32" s="89">
        <f t="shared" ref="AS32" si="282">AVERAGE(AR32:AR33)</f>
        <v>27.061371841155236</v>
      </c>
      <c r="AT32" s="52">
        <v>47.037304452466906</v>
      </c>
      <c r="AU32" s="89">
        <f t="shared" ref="AU32" si="283">AVERAGE(AT32:AT33)</f>
        <v>47.518652226233456</v>
      </c>
    </row>
    <row r="33" spans="1:47" x14ac:dyDescent="0.35">
      <c r="A33" s="88"/>
      <c r="B33" s="52">
        <v>-7.1767000000000003</v>
      </c>
      <c r="C33" s="89"/>
      <c r="D33" s="52">
        <v>-18.190000000000001</v>
      </c>
      <c r="E33" s="89"/>
      <c r="F33" s="52">
        <v>8.4091000000000005</v>
      </c>
      <c r="G33" s="89"/>
      <c r="H33" s="52">
        <v>6.5679999999999996</v>
      </c>
      <c r="I33" s="89"/>
      <c r="J33" s="52" t="s">
        <v>3</v>
      </c>
      <c r="K33" s="89"/>
      <c r="L33" s="89"/>
      <c r="M33" s="52" t="s">
        <v>3</v>
      </c>
      <c r="N33" s="89"/>
      <c r="O33" s="89"/>
      <c r="P33" s="52">
        <v>-4.2130000000000001E-2</v>
      </c>
      <c r="Q33" s="89"/>
      <c r="R33" s="52">
        <v>-2.2419999999999999E-2</v>
      </c>
      <c r="S33" s="89"/>
      <c r="T33" s="52">
        <v>15.814</v>
      </c>
      <c r="U33" s="89"/>
      <c r="V33" s="52">
        <v>6.7015000000000002</v>
      </c>
      <c r="W33" s="89"/>
      <c r="X33" s="52">
        <v>-17.396000000000001</v>
      </c>
      <c r="Y33" s="89"/>
      <c r="Z33" s="89"/>
      <c r="AA33" s="52">
        <v>-23.99</v>
      </c>
      <c r="AB33" s="89"/>
      <c r="AC33" s="89"/>
      <c r="AD33" s="52"/>
      <c r="AE33" s="89"/>
      <c r="AF33" s="52">
        <v>2.7140000000000001E-2</v>
      </c>
      <c r="AG33" s="89"/>
      <c r="AH33" s="52">
        <v>483.24999999999989</v>
      </c>
      <c r="AI33" s="89"/>
      <c r="AJ33" s="52">
        <v>520.39999999999975</v>
      </c>
      <c r="AK33" s="89"/>
      <c r="AL33" s="52">
        <v>0.28999999999999998</v>
      </c>
      <c r="AM33" s="89"/>
      <c r="AN33" s="89"/>
      <c r="AO33" s="52">
        <v>0.43099999999999999</v>
      </c>
      <c r="AP33" s="89"/>
      <c r="AQ33" s="89"/>
      <c r="AR33" s="52">
        <v>29.10709987966306</v>
      </c>
      <c r="AS33" s="89"/>
      <c r="AT33" s="52">
        <v>48</v>
      </c>
      <c r="AU33" s="89"/>
    </row>
    <row r="34" spans="1:47" x14ac:dyDescent="0.35">
      <c r="A34" s="88">
        <v>17</v>
      </c>
      <c r="B34" s="52">
        <v>-14.333</v>
      </c>
      <c r="C34" s="89">
        <f t="shared" ref="C34" si="284">AVERAGE(B34:B35)</f>
        <v>-13.172000000000001</v>
      </c>
      <c r="D34" s="52">
        <v>-18.181000000000001</v>
      </c>
      <c r="E34" s="89">
        <f t="shared" ref="E34" si="285">AVERAGE(D34:D35)</f>
        <v>-18.926500000000001</v>
      </c>
      <c r="F34" s="52">
        <v>9.5097000000000005</v>
      </c>
      <c r="G34" s="89">
        <f t="shared" ref="G34" si="286">AVERAGE(F34:F35)</f>
        <v>9.3702500000000004</v>
      </c>
      <c r="H34" s="52">
        <v>5.5282999999999998</v>
      </c>
      <c r="I34" s="89">
        <f t="shared" ref="I34" si="287">AVERAGE(H34:H35)</f>
        <v>5.3812499999999996</v>
      </c>
      <c r="J34" s="52">
        <v>-0.19</v>
      </c>
      <c r="K34" s="89">
        <f t="shared" ref="K34:N34" si="288">AVERAGE(J34:J35)</f>
        <v>-0.19</v>
      </c>
      <c r="L34" s="89">
        <f>K34-'Hoja en sucio'!$W$117</f>
        <v>-0.10085714285714284</v>
      </c>
      <c r="M34" s="52">
        <v>-0.13469999999999999</v>
      </c>
      <c r="N34" s="89">
        <f t="shared" si="288"/>
        <v>-0.13469999999999999</v>
      </c>
      <c r="O34" s="89">
        <f>N34-'Hoja en sucio'!$W$117</f>
        <v>-4.5557142857142824E-2</v>
      </c>
      <c r="P34" s="52">
        <v>-2.7830000000000001E-2</v>
      </c>
      <c r="Q34" s="89">
        <f t="shared" ref="Q34:S34" si="289">AVERAGE(P34:P35)</f>
        <v>-2.7584999999999998E-2</v>
      </c>
      <c r="R34" s="52">
        <v>-3.1119999999999998E-2</v>
      </c>
      <c r="S34" s="89">
        <f t="shared" si="289"/>
        <v>-3.0759999999999999E-2</v>
      </c>
      <c r="T34" s="52">
        <v>17.452999999999999</v>
      </c>
      <c r="U34" s="89">
        <f t="shared" ref="U34" si="290">AVERAGE(T34:T35)</f>
        <v>17.747999999999998</v>
      </c>
      <c r="V34" s="52">
        <v>25.981999999999999</v>
      </c>
      <c r="W34" s="89">
        <f t="shared" ref="W34" si="291">AVERAGE(V34:V35)</f>
        <v>25.291</v>
      </c>
      <c r="X34" s="52">
        <v>-22.437999999999999</v>
      </c>
      <c r="Y34" s="89">
        <f t="shared" ref="Y34" si="292">AVERAGE(X34:X35)</f>
        <v>-22.128499999999999</v>
      </c>
      <c r="Z34" s="89">
        <f>Y34-'Hoja en sucio'!$G$114</f>
        <v>-11.06325</v>
      </c>
      <c r="AA34" s="52">
        <v>-31.943000000000001</v>
      </c>
      <c r="AB34" s="89">
        <f t="shared" ref="AB34" si="293">AVERAGE(AA34:AA35)</f>
        <v>-32.500500000000002</v>
      </c>
      <c r="AC34" s="89">
        <f>AB34-'Hoja en sucio'!$H$114</f>
        <v>-21.435250000000003</v>
      </c>
      <c r="AD34" s="52">
        <v>7.2630000000000004E-3</v>
      </c>
      <c r="AE34" s="89">
        <f t="shared" ref="AE34" si="294">AVERAGE(AD34:AD35)</f>
        <v>6.5300000000000002E-3</v>
      </c>
      <c r="AF34" s="52">
        <v>1.2710000000000001E-2</v>
      </c>
      <c r="AG34" s="89">
        <f t="shared" ref="AG34:AI34" si="295">AVERAGE(AF34:AF35)</f>
        <v>1.2710000000000001E-2</v>
      </c>
      <c r="AH34" s="52">
        <v>108.24999999999987</v>
      </c>
      <c r="AI34" s="89">
        <f t="shared" si="295"/>
        <v>91.999999999999858</v>
      </c>
      <c r="AJ34" s="52">
        <v>666.39999999999986</v>
      </c>
      <c r="AK34" s="89">
        <f t="shared" ref="AK34" si="296">AVERAGE(AJ34:AJ35)</f>
        <v>645.39999999999986</v>
      </c>
      <c r="AL34" s="52">
        <v>0.20599999999999999</v>
      </c>
      <c r="AM34" s="89">
        <f t="shared" ref="AM34" si="297">AVERAGE(AL34:AL35)</f>
        <v>0.20799999999999999</v>
      </c>
      <c r="AN34" s="89">
        <f t="shared" ref="AN34" si="298">30*AM34</f>
        <v>6.2399999999999993</v>
      </c>
      <c r="AO34" s="52">
        <v>0.33600000000000002</v>
      </c>
      <c r="AP34" s="89">
        <f t="shared" ref="AP34" si="299">AVERAGE(AO34:AO35)</f>
        <v>0.34950000000000003</v>
      </c>
      <c r="AQ34" s="89">
        <f t="shared" ref="AQ34" si="300">30*AP34</f>
        <v>10.485000000000001</v>
      </c>
      <c r="AR34" s="52">
        <v>17.735258724428402</v>
      </c>
      <c r="AS34" s="89">
        <f t="shared" ref="AS34" si="301">AVERAGE(AR34:AR35)</f>
        <v>19.299638989169679</v>
      </c>
      <c r="AT34" s="52">
        <v>31.935018050541512</v>
      </c>
      <c r="AU34" s="89">
        <f t="shared" ref="AU34" si="302">AVERAGE(AT34:AT35)</f>
        <v>32.687123947051738</v>
      </c>
    </row>
    <row r="35" spans="1:47" x14ac:dyDescent="0.35">
      <c r="A35" s="88"/>
      <c r="B35" s="52">
        <v>-12.010999999999999</v>
      </c>
      <c r="C35" s="89"/>
      <c r="D35" s="52">
        <v>-19.672000000000001</v>
      </c>
      <c r="E35" s="89"/>
      <c r="F35" s="52">
        <v>9.2308000000000003</v>
      </c>
      <c r="G35" s="89"/>
      <c r="H35" s="52">
        <v>5.2342000000000004</v>
      </c>
      <c r="I35" s="89"/>
      <c r="J35" s="52" t="s">
        <v>3</v>
      </c>
      <c r="K35" s="89"/>
      <c r="L35" s="89"/>
      <c r="M35" s="52" t="s">
        <v>3</v>
      </c>
      <c r="N35" s="89"/>
      <c r="O35" s="89"/>
      <c r="P35" s="52">
        <v>-2.734E-2</v>
      </c>
      <c r="Q35" s="89"/>
      <c r="R35" s="52">
        <v>-3.04E-2</v>
      </c>
      <c r="S35" s="89"/>
      <c r="T35" s="52">
        <v>18.042999999999999</v>
      </c>
      <c r="U35" s="89"/>
      <c r="V35" s="52">
        <v>24.6</v>
      </c>
      <c r="W35" s="89"/>
      <c r="X35" s="52">
        <v>-21.818999999999999</v>
      </c>
      <c r="Y35" s="89"/>
      <c r="Z35" s="89"/>
      <c r="AA35" s="52">
        <v>-33.058</v>
      </c>
      <c r="AB35" s="89"/>
      <c r="AC35" s="89"/>
      <c r="AD35" s="52">
        <v>5.7970000000000001E-3</v>
      </c>
      <c r="AE35" s="89"/>
      <c r="AF35" s="52"/>
      <c r="AG35" s="89"/>
      <c r="AH35" s="52">
        <v>75.749999999999844</v>
      </c>
      <c r="AI35" s="89"/>
      <c r="AJ35" s="52">
        <v>624.39999999999986</v>
      </c>
      <c r="AK35" s="89"/>
      <c r="AL35" s="52">
        <v>0.21</v>
      </c>
      <c r="AM35" s="89"/>
      <c r="AN35" s="89"/>
      <c r="AO35" s="52">
        <v>0.36299999999999999</v>
      </c>
      <c r="AP35" s="89"/>
      <c r="AQ35" s="89"/>
      <c r="AR35" s="52">
        <v>20.864019253910953</v>
      </c>
      <c r="AS35" s="89"/>
      <c r="AT35" s="52">
        <v>33.439229843561968</v>
      </c>
      <c r="AU35" s="89"/>
    </row>
    <row r="36" spans="1:47" x14ac:dyDescent="0.35">
      <c r="A36" s="88">
        <v>18</v>
      </c>
      <c r="B36" s="52">
        <v>-15.068</v>
      </c>
      <c r="C36" s="89">
        <f t="shared" ref="C36" si="303">AVERAGE(B36:B37)</f>
        <v>-15.237500000000001</v>
      </c>
      <c r="D36" s="52">
        <v>-18.170000000000002</v>
      </c>
      <c r="E36" s="89">
        <f t="shared" ref="E36" si="304">AVERAGE(D36:D37)</f>
        <v>-18.576000000000001</v>
      </c>
      <c r="F36" s="52">
        <v>9.1818000000000008</v>
      </c>
      <c r="G36" s="89">
        <f t="shared" ref="G36" si="305">AVERAGE(F36:F37)</f>
        <v>8.3994</v>
      </c>
      <c r="H36" s="52">
        <v>6.3398000000000003</v>
      </c>
      <c r="I36" s="89">
        <f t="shared" ref="I36" si="306">AVERAGE(H36:H37)</f>
        <v>6.3974500000000001</v>
      </c>
      <c r="J36" s="52">
        <v>-0.1231</v>
      </c>
      <c r="K36" s="89">
        <f t="shared" ref="K36:N36" si="307">AVERAGE(J36:J37)</f>
        <v>-0.1231</v>
      </c>
      <c r="L36" s="89">
        <f>K36-'Hoja en sucio'!$W$117</f>
        <v>-3.3957142857142839E-2</v>
      </c>
      <c r="M36" s="52">
        <v>-8.6169999999999997E-2</v>
      </c>
      <c r="N36" s="89">
        <f t="shared" si="307"/>
        <v>-8.6169999999999997E-2</v>
      </c>
      <c r="O36" s="89">
        <f>N36-'Hoja en sucio'!$W$117</f>
        <v>2.972857142857166E-3</v>
      </c>
      <c r="P36" s="52">
        <v>-4.5560000000000003E-2</v>
      </c>
      <c r="Q36" s="89">
        <f t="shared" ref="Q36:S36" si="308">AVERAGE(P36:P37)</f>
        <v>-3.8115000000000003E-2</v>
      </c>
      <c r="R36" s="52">
        <v>-1.303E-2</v>
      </c>
      <c r="S36" s="89">
        <f t="shared" si="308"/>
        <v>-2.0615000000000001E-2</v>
      </c>
      <c r="T36" s="52">
        <v>15.847</v>
      </c>
      <c r="U36" s="89">
        <f t="shared" ref="U36" si="309">AVERAGE(T36:T37)</f>
        <v>15.384</v>
      </c>
      <c r="V36" s="52">
        <v>13.129</v>
      </c>
      <c r="W36" s="89">
        <f t="shared" ref="W36" si="310">AVERAGE(V36:V37)</f>
        <v>13.100999999999999</v>
      </c>
      <c r="X36" s="52">
        <v>-20.49</v>
      </c>
      <c r="Y36" s="89">
        <f t="shared" ref="Y36" si="311">AVERAGE(X36:X37)</f>
        <v>-19.7395</v>
      </c>
      <c r="Z36" s="89">
        <f>Y36-'Hoja en sucio'!$G$114</f>
        <v>-8.6742500000000007</v>
      </c>
      <c r="AA36" s="52">
        <v>-21.809000000000001</v>
      </c>
      <c r="AB36" s="89">
        <f t="shared" ref="AB36" si="312">AVERAGE(AA36:AA37)</f>
        <v>-22.904499999999999</v>
      </c>
      <c r="AC36" s="89">
        <f>AB36-'Hoja en sucio'!$H$114</f>
        <v>-11.83925</v>
      </c>
      <c r="AD36" s="75">
        <v>1.3669999999999999E-3</v>
      </c>
      <c r="AE36" s="89">
        <f>AVERAGE(AD37:AD37)</f>
        <v>1.6240000000000001E-2</v>
      </c>
      <c r="AF36" s="52">
        <v>1.12E-2</v>
      </c>
      <c r="AG36" s="89">
        <f t="shared" ref="AG36:AI36" si="313">AVERAGE(AF36:AF37)</f>
        <v>1.12E-2</v>
      </c>
      <c r="AH36" s="52">
        <v>480.74999999999989</v>
      </c>
      <c r="AI36" s="89">
        <f t="shared" si="313"/>
        <v>446.99999999999989</v>
      </c>
      <c r="AJ36" s="52">
        <v>578.39999999999975</v>
      </c>
      <c r="AK36" s="89">
        <f t="shared" ref="AK36" si="314">AVERAGE(AJ36:AJ37)</f>
        <v>613.39999999999986</v>
      </c>
      <c r="AL36" s="52">
        <v>0.115</v>
      </c>
      <c r="AM36" s="89">
        <f t="shared" ref="AM36" si="315">AVERAGE(AL36:AL37)</f>
        <v>0.16800000000000001</v>
      </c>
      <c r="AN36" s="89">
        <f t="shared" ref="AN36" si="316">30*AM36</f>
        <v>5.04</v>
      </c>
      <c r="AO36" s="52">
        <v>0.34499999999999997</v>
      </c>
      <c r="AP36" s="89">
        <f t="shared" ref="AP36" si="317">AVERAGE(AO36:AO37)</f>
        <v>0.35299999999999998</v>
      </c>
      <c r="AQ36" s="89">
        <f t="shared" ref="AQ36" si="318">30*AP36</f>
        <v>10.59</v>
      </c>
      <c r="AR36" s="52">
        <v>29.768953068592062</v>
      </c>
      <c r="AS36" s="89">
        <f t="shared" ref="AS36" si="319">AVERAGE(AR36:AR37)</f>
        <v>30.821901323706378</v>
      </c>
      <c r="AT36" s="52">
        <v>63.944645006016856</v>
      </c>
      <c r="AU36" s="89">
        <f t="shared" ref="AU36" si="320">AVERAGE(AT36:AT37)</f>
        <v>63.25270758122744</v>
      </c>
    </row>
    <row r="37" spans="1:47" x14ac:dyDescent="0.35">
      <c r="A37" s="88"/>
      <c r="B37" s="52">
        <v>-15.407</v>
      </c>
      <c r="C37" s="89"/>
      <c r="D37" s="52">
        <v>-18.981999999999999</v>
      </c>
      <c r="E37" s="89"/>
      <c r="F37" s="52">
        <v>7.617</v>
      </c>
      <c r="G37" s="89"/>
      <c r="H37" s="52">
        <v>6.4550999999999998</v>
      </c>
      <c r="I37" s="89"/>
      <c r="J37" s="52" t="s">
        <v>3</v>
      </c>
      <c r="K37" s="89"/>
      <c r="L37" s="89"/>
      <c r="M37" s="52" t="s">
        <v>3</v>
      </c>
      <c r="N37" s="89"/>
      <c r="O37" s="89"/>
      <c r="P37" s="52">
        <v>-3.0669999999999999E-2</v>
      </c>
      <c r="Q37" s="89"/>
      <c r="R37" s="52">
        <v>-2.8199999999999999E-2</v>
      </c>
      <c r="S37" s="89"/>
      <c r="T37" s="52">
        <v>14.920999999999999</v>
      </c>
      <c r="U37" s="89"/>
      <c r="V37" s="52">
        <v>13.073</v>
      </c>
      <c r="W37" s="89"/>
      <c r="X37" s="52">
        <v>-18.989000000000001</v>
      </c>
      <c r="Y37" s="89"/>
      <c r="Z37" s="89"/>
      <c r="AA37" s="52">
        <v>-24</v>
      </c>
      <c r="AB37" s="89"/>
      <c r="AC37" s="89"/>
      <c r="AD37" s="52">
        <v>1.6240000000000001E-2</v>
      </c>
      <c r="AE37" s="89"/>
      <c r="AF37" s="52"/>
      <c r="AG37" s="89"/>
      <c r="AH37" s="52">
        <v>413.24999999999983</v>
      </c>
      <c r="AI37" s="89"/>
      <c r="AJ37" s="52">
        <v>648.39999999999986</v>
      </c>
      <c r="AK37" s="89"/>
      <c r="AL37" s="52">
        <v>0.221</v>
      </c>
      <c r="AM37" s="89"/>
      <c r="AN37" s="89"/>
      <c r="AO37" s="52">
        <v>0.36099999999999999</v>
      </c>
      <c r="AP37" s="89"/>
      <c r="AQ37" s="89"/>
      <c r="AR37" s="52">
        <v>31.874849578820694</v>
      </c>
      <c r="AS37" s="89"/>
      <c r="AT37" s="52">
        <v>62.560770156438032</v>
      </c>
      <c r="AU37" s="89"/>
    </row>
    <row r="38" spans="1:47" x14ac:dyDescent="0.35">
      <c r="A38" s="88">
        <v>19</v>
      </c>
      <c r="B38" s="52">
        <v>-15.885</v>
      </c>
      <c r="C38" s="89">
        <f t="shared" ref="C38" si="321">AVERAGE(B38:B39)</f>
        <v>-15.652999999999999</v>
      </c>
      <c r="D38" s="52">
        <v>-18.178999999999998</v>
      </c>
      <c r="E38" s="89">
        <f t="shared" ref="E38" si="322">AVERAGE(D38:D39)</f>
        <v>-18.262499999999999</v>
      </c>
      <c r="F38" s="52">
        <v>7.4252000000000002</v>
      </c>
      <c r="G38" s="89">
        <f t="shared" ref="G38" si="323">AVERAGE(F38:F39)</f>
        <v>7.5098000000000003</v>
      </c>
      <c r="H38" s="52">
        <v>6.8369</v>
      </c>
      <c r="I38" s="89">
        <f t="shared" ref="I38" si="324">AVERAGE(H38:H39)</f>
        <v>6.9737999999999998</v>
      </c>
      <c r="J38" s="52">
        <v>-0.10630000000000001</v>
      </c>
      <c r="K38" s="89">
        <f t="shared" ref="K38:N38" si="325">AVERAGE(J38:J39)</f>
        <v>-0.10630000000000001</v>
      </c>
      <c r="L38" s="89">
        <f>K38-'Hoja en sucio'!$W$117</f>
        <v>-1.7157142857142843E-2</v>
      </c>
      <c r="M38" s="52">
        <v>-0.1069</v>
      </c>
      <c r="N38" s="89">
        <f t="shared" si="325"/>
        <v>-0.1069</v>
      </c>
      <c r="O38" s="89">
        <f>N38-'Hoja en sucio'!$W$117</f>
        <v>-1.7757142857142832E-2</v>
      </c>
      <c r="P38" s="52">
        <v>-3.6700000000000003E-2</v>
      </c>
      <c r="Q38" s="89">
        <f t="shared" ref="Q38:S38" si="326">AVERAGE(P38:P39)</f>
        <v>-3.7680000000000005E-2</v>
      </c>
      <c r="R38" s="52">
        <v>-2.5600000000000001E-2</v>
      </c>
      <c r="S38" s="89">
        <f t="shared" si="326"/>
        <v>-2.6845000000000001E-2</v>
      </c>
      <c r="T38" s="52">
        <v>21.283999999999999</v>
      </c>
      <c r="U38" s="89">
        <f t="shared" ref="U38" si="327">AVERAGE(T38:T39)</f>
        <v>21.773</v>
      </c>
      <c r="V38" s="52">
        <v>38</v>
      </c>
      <c r="W38" s="89">
        <f t="shared" ref="W38" si="328">AVERAGE(V38:V39)</f>
        <v>34.881999999999998</v>
      </c>
      <c r="X38" s="52">
        <v>-20.440000000000001</v>
      </c>
      <c r="Y38" s="89">
        <f t="shared" ref="Y38" si="329">AVERAGE(X38:X39)</f>
        <v>-20.044</v>
      </c>
      <c r="Z38" s="89">
        <f>Y38-'Hoja en sucio'!$G$114</f>
        <v>-8.9787500000000016</v>
      </c>
      <c r="AA38" s="52">
        <v>-24.629000000000001</v>
      </c>
      <c r="AB38" s="89">
        <f t="shared" ref="AB38" si="330">AVERAGE(AA38:AA39)</f>
        <v>-26.211500000000001</v>
      </c>
      <c r="AC38" s="89">
        <f>AB38-'Hoja en sucio'!$H$114</f>
        <v>-15.146250000000002</v>
      </c>
      <c r="AD38" s="52">
        <v>2.186E-3</v>
      </c>
      <c r="AE38" s="89">
        <f t="shared" ref="AE38" si="331">AVERAGE(AD38:AD39)</f>
        <v>2.8010000000000001E-3</v>
      </c>
      <c r="AF38" s="52">
        <v>5.6270000000000001E-3</v>
      </c>
      <c r="AG38" s="89">
        <f t="shared" ref="AG38:AI38" si="332">AVERAGE(AF38:AF39)</f>
        <v>4.5975E-3</v>
      </c>
      <c r="AH38" s="52">
        <v>230.74999999999997</v>
      </c>
      <c r="AI38" s="89">
        <f t="shared" si="332"/>
        <v>233.24999999999997</v>
      </c>
      <c r="AJ38" s="52">
        <v>428.39999999999986</v>
      </c>
      <c r="AK38" s="89">
        <f t="shared" ref="AK38" si="333">AVERAGE(AJ38:AJ39)</f>
        <v>449.39999999999986</v>
      </c>
      <c r="AL38" s="52">
        <v>0.24</v>
      </c>
      <c r="AM38" s="89">
        <f t="shared" ref="AM38" si="334">AVERAGE(AL38:AL39)</f>
        <v>0.2515</v>
      </c>
      <c r="AN38" s="89">
        <f t="shared" ref="AN38" si="335">30*AM38</f>
        <v>7.5449999999999999</v>
      </c>
      <c r="AO38" s="52">
        <v>0.34499999999999997</v>
      </c>
      <c r="AP38" s="89">
        <f t="shared" ref="AP38" si="336">AVERAGE(AO38:AO39)</f>
        <v>0.35799999999999998</v>
      </c>
      <c r="AQ38" s="89">
        <f t="shared" ref="AQ38" si="337">30*AP38</f>
        <v>10.74</v>
      </c>
      <c r="AR38" s="52">
        <v>25.376654632972325</v>
      </c>
      <c r="AS38" s="89">
        <f t="shared" ref="AS38" si="338">AVERAGE(AR38:AR39)</f>
        <v>26.610108303249099</v>
      </c>
      <c r="AT38" s="52">
        <v>51.610108303249099</v>
      </c>
      <c r="AU38" s="89">
        <f t="shared" ref="AU38" si="339">AVERAGE(AT38:AT39)</f>
        <v>52.42238267148015</v>
      </c>
    </row>
    <row r="39" spans="1:47" x14ac:dyDescent="0.35">
      <c r="A39" s="88"/>
      <c r="B39" s="52">
        <v>-15.420999999999999</v>
      </c>
      <c r="C39" s="89"/>
      <c r="D39" s="52">
        <v>-18.346</v>
      </c>
      <c r="E39" s="89"/>
      <c r="F39" s="52">
        <v>7.5944000000000003</v>
      </c>
      <c r="G39" s="89"/>
      <c r="H39" s="52">
        <v>7.1106999999999996</v>
      </c>
      <c r="I39" s="89"/>
      <c r="J39" s="52" t="s">
        <v>3</v>
      </c>
      <c r="K39" s="89"/>
      <c r="L39" s="89"/>
      <c r="M39" s="52" t="s">
        <v>3</v>
      </c>
      <c r="N39" s="89"/>
      <c r="O39" s="89"/>
      <c r="P39" s="52">
        <v>-3.866E-2</v>
      </c>
      <c r="Q39" s="89"/>
      <c r="R39" s="52">
        <v>-2.809E-2</v>
      </c>
      <c r="S39" s="89"/>
      <c r="T39" s="52">
        <v>22.262</v>
      </c>
      <c r="U39" s="89"/>
      <c r="V39" s="52">
        <v>31.763999999999999</v>
      </c>
      <c r="W39" s="89"/>
      <c r="X39" s="52">
        <v>-19.648</v>
      </c>
      <c r="Y39" s="89"/>
      <c r="Z39" s="89"/>
      <c r="AA39" s="52">
        <v>-27.794</v>
      </c>
      <c r="AB39" s="89"/>
      <c r="AC39" s="89"/>
      <c r="AD39" s="52">
        <v>3.4160000000000002E-3</v>
      </c>
      <c r="AE39" s="89"/>
      <c r="AF39" s="52">
        <v>3.568E-3</v>
      </c>
      <c r="AG39" s="89"/>
      <c r="AH39" s="52">
        <v>235.74999999999997</v>
      </c>
      <c r="AI39" s="89"/>
      <c r="AJ39" s="52">
        <v>470.39999999999992</v>
      </c>
      <c r="AK39" s="89"/>
      <c r="AL39" s="52">
        <v>0.26300000000000001</v>
      </c>
      <c r="AM39" s="89"/>
      <c r="AN39" s="89"/>
      <c r="AO39" s="52">
        <v>0.371</v>
      </c>
      <c r="AP39" s="89"/>
      <c r="AQ39" s="89"/>
      <c r="AR39" s="52">
        <v>27.843561973525873</v>
      </c>
      <c r="AS39" s="89"/>
      <c r="AT39" s="52">
        <v>53.234657039711195</v>
      </c>
      <c r="AU39" s="89"/>
    </row>
    <row r="40" spans="1:47" x14ac:dyDescent="0.35">
      <c r="A40" s="88">
        <v>20</v>
      </c>
      <c r="B40" s="52">
        <v>-11.67</v>
      </c>
      <c r="C40" s="89">
        <f t="shared" ref="C40" si="340">AVERAGE(B40:B41)</f>
        <v>-14.313500000000001</v>
      </c>
      <c r="D40" s="52">
        <v>-16.981999999999999</v>
      </c>
      <c r="E40" s="89">
        <f t="shared" ref="E40" si="341">AVERAGE(D40:D41)</f>
        <v>-17.660499999999999</v>
      </c>
      <c r="F40" s="52">
        <v>9.6112000000000002</v>
      </c>
      <c r="G40" s="89">
        <f t="shared" ref="G40" si="342">AVERAGE(F40:F41)</f>
        <v>9.4717000000000002</v>
      </c>
      <c r="H40" s="52">
        <v>10.154</v>
      </c>
      <c r="I40" s="89">
        <f t="shared" ref="I40" si="343">AVERAGE(H40:H41)</f>
        <v>10.042349999999999</v>
      </c>
      <c r="J40" s="52">
        <v>-0.13</v>
      </c>
      <c r="K40" s="89">
        <f t="shared" ref="K40:N40" si="344">AVERAGE(J40:J41)</f>
        <v>-0.13</v>
      </c>
      <c r="L40" s="89">
        <f>K40-'Hoja en sucio'!$W$117</f>
        <v>-4.0857142857142842E-2</v>
      </c>
      <c r="M40" s="52">
        <v>-0.12180000000000001</v>
      </c>
      <c r="N40" s="89">
        <f t="shared" si="344"/>
        <v>-0.12180000000000001</v>
      </c>
      <c r="O40" s="89">
        <f>N40-'Hoja en sucio'!$W$117</f>
        <v>-3.2657142857142843E-2</v>
      </c>
      <c r="P40" s="52">
        <v>-3.4180000000000002E-2</v>
      </c>
      <c r="Q40" s="89">
        <f t="shared" ref="Q40:S40" si="345">AVERAGE(P40:P41)</f>
        <v>-3.3960000000000004E-2</v>
      </c>
      <c r="R40" s="52">
        <v>-3.022E-2</v>
      </c>
      <c r="S40" s="89">
        <f t="shared" si="345"/>
        <v>-3.0475000000000002E-2</v>
      </c>
      <c r="T40" s="52">
        <v>13.741</v>
      </c>
      <c r="U40" s="89">
        <f t="shared" ref="U40" si="346">AVERAGE(T40:T41)</f>
        <v>13.695499999999999</v>
      </c>
      <c r="V40" s="52">
        <v>25.055</v>
      </c>
      <c r="W40" s="89">
        <f t="shared" ref="W40" si="347">AVERAGE(V40:V41)</f>
        <v>24.435000000000002</v>
      </c>
      <c r="X40" s="52">
        <v>-18.335000000000001</v>
      </c>
      <c r="Y40" s="89">
        <f t="shared" ref="Y40" si="348">AVERAGE(X40:X41)</f>
        <v>-21.305500000000002</v>
      </c>
      <c r="Z40" s="89">
        <f>Y40-'Hoja en sucio'!$G$114</f>
        <v>-10.240250000000003</v>
      </c>
      <c r="AA40" s="52">
        <v>-24.03</v>
      </c>
      <c r="AB40" s="89">
        <f t="shared" ref="AB40" si="349">AVERAGE(AA40:AA41)</f>
        <v>-23.529499999999999</v>
      </c>
      <c r="AC40" s="89">
        <f>AB40-'Hoja en sucio'!$H$114</f>
        <v>-12.46425</v>
      </c>
      <c r="AD40" s="75">
        <v>2.7850000000000001E-3</v>
      </c>
      <c r="AE40" s="89">
        <f>AVERAGE(AD41:AD41)</f>
        <v>1.444E-2</v>
      </c>
      <c r="AF40" s="52">
        <v>2.5350000000000004E-3</v>
      </c>
      <c r="AG40" s="89">
        <f t="shared" ref="AG40:AI40" si="350">AVERAGE(AF40:AF41)</f>
        <v>2.5350000000000004E-3</v>
      </c>
      <c r="AH40" s="52">
        <v>588.24999999999989</v>
      </c>
      <c r="AI40" s="89">
        <f t="shared" si="350"/>
        <v>620.74999999999989</v>
      </c>
      <c r="AJ40" s="52">
        <v>422.39999999999986</v>
      </c>
      <c r="AK40" s="89">
        <f t="shared" ref="AK40" si="351">AVERAGE(AJ40:AJ41)</f>
        <v>440.39999999999986</v>
      </c>
      <c r="AL40" s="52">
        <v>0.17599999999999999</v>
      </c>
      <c r="AM40" s="89">
        <f t="shared" ref="AM40" si="352">AVERAGE(AL40:AL41)</f>
        <v>0.184</v>
      </c>
      <c r="AN40" s="89">
        <f t="shared" ref="AN40" si="353">30*AM40</f>
        <v>5.52</v>
      </c>
      <c r="AO40" s="52">
        <v>0.28199999999999997</v>
      </c>
      <c r="AP40" s="89">
        <f t="shared" ref="AP40" si="354">AVERAGE(AO40:AO41)</f>
        <v>0.28999999999999998</v>
      </c>
      <c r="AQ40" s="89">
        <f t="shared" ref="AQ40" si="355">30*AP40</f>
        <v>8.6999999999999993</v>
      </c>
      <c r="AR40" s="52">
        <v>26.219013237063777</v>
      </c>
      <c r="AS40" s="89">
        <f t="shared" ref="AS40" si="356">AVERAGE(AR40:AR41)</f>
        <v>25.948255114320098</v>
      </c>
      <c r="AT40" s="52">
        <v>30.250300842358605</v>
      </c>
      <c r="AU40" s="89">
        <f t="shared" ref="AU40" si="357">AVERAGE(AT40:AT41)</f>
        <v>30.611311672683513</v>
      </c>
    </row>
    <row r="41" spans="1:47" x14ac:dyDescent="0.35">
      <c r="A41" s="88"/>
      <c r="B41" s="52">
        <v>-16.957000000000001</v>
      </c>
      <c r="C41" s="89"/>
      <c r="D41" s="52">
        <v>-18.338999999999999</v>
      </c>
      <c r="E41" s="89"/>
      <c r="F41" s="52">
        <v>9.3322000000000003</v>
      </c>
      <c r="G41" s="89"/>
      <c r="H41" s="52">
        <v>9.9306999999999999</v>
      </c>
      <c r="I41" s="89"/>
      <c r="J41" s="52" t="s">
        <v>3</v>
      </c>
      <c r="K41" s="89"/>
      <c r="L41" s="89"/>
      <c r="M41" s="52" t="s">
        <v>3</v>
      </c>
      <c r="N41" s="89"/>
      <c r="O41" s="89"/>
      <c r="P41" s="52">
        <v>-3.3739999999999999E-2</v>
      </c>
      <c r="Q41" s="89"/>
      <c r="R41" s="52">
        <v>-3.073E-2</v>
      </c>
      <c r="S41" s="89"/>
      <c r="T41" s="52">
        <v>13.65</v>
      </c>
      <c r="U41" s="89"/>
      <c r="V41" s="52">
        <v>23.815000000000001</v>
      </c>
      <c r="W41" s="89"/>
      <c r="X41" s="52">
        <v>-24.276</v>
      </c>
      <c r="Y41" s="89"/>
      <c r="Z41" s="89"/>
      <c r="AA41" s="52">
        <v>-23.029</v>
      </c>
      <c r="AB41" s="89"/>
      <c r="AC41" s="89"/>
      <c r="AD41" s="52">
        <v>1.444E-2</v>
      </c>
      <c r="AE41" s="89"/>
      <c r="AF41" s="52"/>
      <c r="AG41" s="89"/>
      <c r="AH41" s="52">
        <v>653.24999999999989</v>
      </c>
      <c r="AI41" s="89"/>
      <c r="AJ41" s="52">
        <v>458.39999999999992</v>
      </c>
      <c r="AK41" s="89"/>
      <c r="AL41" s="52">
        <v>0.192</v>
      </c>
      <c r="AM41" s="89"/>
      <c r="AN41" s="89"/>
      <c r="AO41" s="52">
        <v>0.29799999999999999</v>
      </c>
      <c r="AP41" s="89"/>
      <c r="AQ41" s="89"/>
      <c r="AR41" s="52">
        <v>25.677496991576415</v>
      </c>
      <c r="AS41" s="89"/>
      <c r="AT41" s="52">
        <v>30.972322503008424</v>
      </c>
      <c r="AU41" s="89"/>
    </row>
    <row r="42" spans="1:47" x14ac:dyDescent="0.35">
      <c r="A42" s="88">
        <v>21</v>
      </c>
      <c r="B42" s="52">
        <v>-17.611000000000001</v>
      </c>
      <c r="C42" s="89">
        <f t="shared" ref="C42" si="358">AVERAGE(B42:B43)</f>
        <v>-16.133500000000002</v>
      </c>
      <c r="D42" s="52">
        <v>-18.533000000000001</v>
      </c>
      <c r="E42" s="89">
        <f t="shared" ref="E42" si="359">AVERAGE(D42:D43)</f>
        <v>-18.545000000000002</v>
      </c>
      <c r="F42" s="52">
        <v>7.4759000000000002</v>
      </c>
      <c r="G42" s="89">
        <f t="shared" ref="G42" si="360">AVERAGE(F42:F43)</f>
        <v>7.5165000000000006</v>
      </c>
      <c r="H42" s="52">
        <v>6.5427</v>
      </c>
      <c r="I42" s="89">
        <f t="shared" ref="I42" si="361">AVERAGE(H42:H43)</f>
        <v>6.4665999999999997</v>
      </c>
      <c r="J42" s="52">
        <v>-9.0289999999999995E-2</v>
      </c>
      <c r="K42" s="89">
        <f t="shared" ref="K42:N42" si="362">AVERAGE(J42:J43)</f>
        <v>-9.0289999999999995E-2</v>
      </c>
      <c r="L42" s="89">
        <f>K42-'Hoja en sucio'!$W$117</f>
        <v>-1.1471428571428327E-3</v>
      </c>
      <c r="M42" s="52">
        <v>-0.11070000000000001</v>
      </c>
      <c r="N42" s="89">
        <f t="shared" si="362"/>
        <v>-0.11070000000000001</v>
      </c>
      <c r="O42" s="89">
        <f>N42-'Hoja en sucio'!$W$117</f>
        <v>-2.1557142857142844E-2</v>
      </c>
      <c r="P42" s="52">
        <v>-3.1660000000000001E-2</v>
      </c>
      <c r="Q42" s="89">
        <f t="shared" ref="Q42:S42" si="363">AVERAGE(P42:P43)</f>
        <v>-3.2704999999999998E-2</v>
      </c>
      <c r="R42" s="52">
        <v>-2.07E-2</v>
      </c>
      <c r="S42" s="89">
        <f t="shared" si="363"/>
        <v>-2.1054999999999997E-2</v>
      </c>
      <c r="T42" s="52">
        <v>20.056000000000001</v>
      </c>
      <c r="U42" s="89">
        <f t="shared" ref="U42" si="364">AVERAGE(T42:T43)</f>
        <v>20.810500000000001</v>
      </c>
      <c r="V42" s="52">
        <v>27.626000000000001</v>
      </c>
      <c r="W42" s="89">
        <f t="shared" ref="W42" si="365">AVERAGE(V42:V43)</f>
        <v>27.9025</v>
      </c>
      <c r="X42" s="52">
        <v>-21.443999999999999</v>
      </c>
      <c r="Y42" s="89">
        <f t="shared" ref="Y42" si="366">AVERAGE(X42:X43)</f>
        <v>-20.479999999999997</v>
      </c>
      <c r="Z42" s="89">
        <f>Y42-'Hoja en sucio'!$G$114</f>
        <v>-9.414749999999998</v>
      </c>
      <c r="AA42" s="52">
        <v>-23.036000000000001</v>
      </c>
      <c r="AB42" s="89">
        <f t="shared" ref="AB42" si="367">AVERAGE(AA42:AA43)</f>
        <v>-23.981999999999999</v>
      </c>
      <c r="AC42" s="89">
        <f>AB42-'Hoja en sucio'!$H$114</f>
        <v>-12.91675</v>
      </c>
      <c r="AD42" s="52">
        <v>1.6080000000000001E-3</v>
      </c>
      <c r="AE42" s="89">
        <f t="shared" ref="AE42" si="368">AVERAGE(AD42:AD43)</f>
        <v>2.725E-3</v>
      </c>
      <c r="AF42" s="52">
        <v>3.1579999999999998E-3</v>
      </c>
      <c r="AG42" s="89">
        <f t="shared" ref="AG42:AI42" si="369">AVERAGE(AF42:AF43)</f>
        <v>3.9690000000000003E-3</v>
      </c>
      <c r="AH42" s="52">
        <v>563.24999999999989</v>
      </c>
      <c r="AI42" s="89">
        <f t="shared" si="369"/>
        <v>488.24999999999989</v>
      </c>
      <c r="AJ42" s="52">
        <v>634.39999999999986</v>
      </c>
      <c r="AK42" s="89">
        <f t="shared" ref="AK42" si="370">AVERAGE(AJ42:AJ43)</f>
        <v>588.39999999999986</v>
      </c>
      <c r="AL42" s="52">
        <v>0.22600000000000001</v>
      </c>
      <c r="AM42" s="89">
        <f t="shared" ref="AM42" si="371">AVERAGE(AL42:AL43)</f>
        <v>0.23149999999999998</v>
      </c>
      <c r="AN42" s="89">
        <f t="shared" ref="AN42" si="372">30*AM42</f>
        <v>6.9449999999999994</v>
      </c>
      <c r="AO42" s="52">
        <v>0.25900000000000001</v>
      </c>
      <c r="AP42" s="89">
        <f t="shared" ref="AP42" si="373">AVERAGE(AO42:AO43)</f>
        <v>0.27449999999999997</v>
      </c>
      <c r="AQ42" s="89">
        <f t="shared" ref="AQ42" si="374">30*AP42</f>
        <v>8.2349999999999994</v>
      </c>
      <c r="AR42" s="52">
        <v>35.244283995186521</v>
      </c>
      <c r="AS42" s="89">
        <f t="shared" ref="AS42" si="375">AVERAGE(AR42:AR43)</f>
        <v>33.318892900120339</v>
      </c>
      <c r="AT42" s="52">
        <v>39.335740072202164</v>
      </c>
      <c r="AU42" s="89">
        <f t="shared" ref="AU42" si="376">AVERAGE(AT42:AT43)</f>
        <v>41.832731648616125</v>
      </c>
    </row>
    <row r="43" spans="1:47" x14ac:dyDescent="0.35">
      <c r="A43" s="88"/>
      <c r="B43" s="52">
        <v>-14.656000000000001</v>
      </c>
      <c r="C43" s="89"/>
      <c r="D43" s="52">
        <v>-18.556999999999999</v>
      </c>
      <c r="E43" s="89"/>
      <c r="F43" s="52">
        <v>7.5571000000000002</v>
      </c>
      <c r="G43" s="89"/>
      <c r="H43" s="52">
        <v>6.3905000000000003</v>
      </c>
      <c r="I43" s="89"/>
      <c r="J43" s="52" t="s">
        <v>3</v>
      </c>
      <c r="K43" s="89"/>
      <c r="L43" s="89"/>
      <c r="M43" s="52" t="s">
        <v>3</v>
      </c>
      <c r="N43" s="89"/>
      <c r="O43" s="89"/>
      <c r="P43" s="52">
        <v>-3.3750000000000002E-2</v>
      </c>
      <c r="Q43" s="89"/>
      <c r="R43" s="52">
        <v>-2.1409999999999998E-2</v>
      </c>
      <c r="S43" s="89"/>
      <c r="T43" s="52">
        <v>21.565000000000001</v>
      </c>
      <c r="U43" s="89"/>
      <c r="V43" s="52">
        <v>28.178999999999998</v>
      </c>
      <c r="W43" s="89"/>
      <c r="X43" s="52">
        <v>-19.515999999999998</v>
      </c>
      <c r="Y43" s="89"/>
      <c r="Z43" s="89"/>
      <c r="AA43" s="52">
        <v>-24.928000000000001</v>
      </c>
      <c r="AB43" s="89"/>
      <c r="AC43" s="89"/>
      <c r="AD43" s="52">
        <v>3.8420000000000004E-3</v>
      </c>
      <c r="AE43" s="89"/>
      <c r="AF43" s="52">
        <v>4.7800000000000004E-3</v>
      </c>
      <c r="AG43" s="89"/>
      <c r="AH43" s="52">
        <v>413.24999999999983</v>
      </c>
      <c r="AI43" s="89"/>
      <c r="AJ43" s="52">
        <v>542.4</v>
      </c>
      <c r="AK43" s="89"/>
      <c r="AL43" s="52">
        <v>0.23699999999999999</v>
      </c>
      <c r="AM43" s="89"/>
      <c r="AN43" s="89"/>
      <c r="AO43" s="52">
        <v>0.28999999999999998</v>
      </c>
      <c r="AP43" s="89"/>
      <c r="AQ43" s="89"/>
      <c r="AR43" s="52">
        <v>31.393501805054154</v>
      </c>
      <c r="AS43" s="89"/>
      <c r="AT43" s="52">
        <v>44.329723225030087</v>
      </c>
      <c r="AU43" s="89"/>
    </row>
    <row r="44" spans="1:47" x14ac:dyDescent="0.35">
      <c r="A44" s="88">
        <v>22</v>
      </c>
      <c r="B44" s="52">
        <v>-14.525</v>
      </c>
      <c r="C44" s="89">
        <f t="shared" ref="C44" si="377">AVERAGE(B44:B45)</f>
        <v>-15.064</v>
      </c>
      <c r="D44" s="52">
        <v>-24.808</v>
      </c>
      <c r="E44" s="89">
        <f t="shared" ref="E44" si="378">AVERAGE(D44:D45)</f>
        <v>-24.622</v>
      </c>
      <c r="F44" s="52">
        <v>10.098000000000001</v>
      </c>
      <c r="G44" s="89">
        <f t="shared" ref="G44" si="379">AVERAGE(F44:F45)</f>
        <v>9.6321000000000012</v>
      </c>
      <c r="H44" s="52">
        <v>7.0751999999999997</v>
      </c>
      <c r="I44" s="89">
        <f t="shared" ref="I44" si="380">AVERAGE(H44:H45)</f>
        <v>6.8452999999999999</v>
      </c>
      <c r="J44" s="52">
        <v>-6.9190000000000002E-2</v>
      </c>
      <c r="K44" s="89">
        <f t="shared" ref="K44:N44" si="381">AVERAGE(J44:J45)</f>
        <v>-6.9190000000000002E-2</v>
      </c>
      <c r="L44" s="89">
        <f>K44-'Hoja en sucio'!$W$117</f>
        <v>1.9952857142857161E-2</v>
      </c>
      <c r="M44" s="52">
        <v>-0.12470000000000001</v>
      </c>
      <c r="N44" s="89">
        <f t="shared" si="381"/>
        <v>-0.12470000000000001</v>
      </c>
      <c r="O44" s="89">
        <f>N44-'Hoja en sucio'!$W$117</f>
        <v>-3.5557142857142843E-2</v>
      </c>
      <c r="P44" s="52">
        <v>-2.9270000000000001E-2</v>
      </c>
      <c r="Q44" s="89">
        <f t="shared" ref="Q44:S44" si="382">AVERAGE(P44:P45)</f>
        <v>-2.7295E-2</v>
      </c>
      <c r="R44" s="52">
        <v>-1.213E-2</v>
      </c>
      <c r="S44" s="89">
        <f t="shared" si="382"/>
        <v>-2.3165000000000002E-2</v>
      </c>
      <c r="T44" s="52">
        <v>14.077999999999999</v>
      </c>
      <c r="U44" s="89">
        <f t="shared" ref="U44" si="383">AVERAGE(T44:T45)</f>
        <v>14.7585</v>
      </c>
      <c r="V44" s="52">
        <v>23.963999999999999</v>
      </c>
      <c r="W44" s="89">
        <f t="shared" ref="W44" si="384">AVERAGE(V44:V45)</f>
        <v>25.0185</v>
      </c>
      <c r="X44" s="52">
        <v>-17.183</v>
      </c>
      <c r="Y44" s="89">
        <f t="shared" ref="Y44" si="385">AVERAGE(X44:X45)</f>
        <v>-18.111499999999999</v>
      </c>
      <c r="Z44" s="89">
        <f>Y44-'Hoja en sucio'!$G$114</f>
        <v>-7.0462500000000006</v>
      </c>
      <c r="AA44" s="52">
        <v>-34.619999999999997</v>
      </c>
      <c r="AB44" s="89">
        <f t="shared" ref="AB44" si="386">AVERAGE(AA44:AA45)</f>
        <v>-35.807000000000002</v>
      </c>
      <c r="AC44" s="89">
        <f>AB44-'Hoja en sucio'!$H$114</f>
        <v>-24.741750000000003</v>
      </c>
      <c r="AD44" s="52">
        <v>3.1579999999999998E-3</v>
      </c>
      <c r="AE44" s="89">
        <f t="shared" ref="AE44" si="387">AVERAGE(AD44:AD45)</f>
        <v>2.6284999999999998E-3</v>
      </c>
      <c r="AF44" s="52">
        <v>1.068E-2</v>
      </c>
      <c r="AG44" s="89">
        <f t="shared" ref="AG44:AI44" si="388">AVERAGE(AF44:AF45)</f>
        <v>1.068E-2</v>
      </c>
      <c r="AH44" s="72">
        <v>10.749999999999925</v>
      </c>
      <c r="AI44" s="89">
        <f t="shared" si="388"/>
        <v>8.2499999999999236</v>
      </c>
      <c r="AJ44" s="52">
        <v>688.4</v>
      </c>
      <c r="AK44" s="89">
        <f t="shared" ref="AK44" si="389">AVERAGE(AJ44:AJ45)</f>
        <v>677.4</v>
      </c>
      <c r="AL44" s="52">
        <v>0.125</v>
      </c>
      <c r="AM44" s="89">
        <f t="shared" ref="AM44" si="390">AVERAGE(AL44:AL45)</f>
        <v>0.13250000000000001</v>
      </c>
      <c r="AN44" s="89">
        <f t="shared" ref="AN44" si="391">30*AM44</f>
        <v>3.9750000000000001</v>
      </c>
      <c r="AO44" s="52">
        <v>0.34599999999999997</v>
      </c>
      <c r="AP44" s="89">
        <f t="shared" ref="AP44" si="392">AVERAGE(AO44:AO45)</f>
        <v>0.36199999999999999</v>
      </c>
      <c r="AQ44" s="89">
        <f t="shared" ref="AQ44" si="393">30*AP44</f>
        <v>10.86</v>
      </c>
      <c r="AR44" s="52">
        <v>24.293622141997595</v>
      </c>
      <c r="AS44" s="89">
        <f t="shared" ref="AS44" si="394">AVERAGE(AR44:AR45)</f>
        <v>24.955475330926596</v>
      </c>
      <c r="AT44" s="52">
        <v>39.4560770156438</v>
      </c>
      <c r="AU44" s="89">
        <f t="shared" ref="AU44" si="395">AVERAGE(AT44:AT45)</f>
        <v>40.388688327316487</v>
      </c>
    </row>
    <row r="45" spans="1:47" x14ac:dyDescent="0.35">
      <c r="A45" s="88"/>
      <c r="B45" s="52">
        <v>-15.603</v>
      </c>
      <c r="C45" s="89"/>
      <c r="D45" s="52">
        <v>-24.436</v>
      </c>
      <c r="E45" s="89"/>
      <c r="F45" s="52">
        <v>9.1661999999999999</v>
      </c>
      <c r="G45" s="89"/>
      <c r="H45" s="52">
        <v>6.6154000000000002</v>
      </c>
      <c r="I45" s="89"/>
      <c r="J45" s="52" t="s">
        <v>3</v>
      </c>
      <c r="K45" s="89"/>
      <c r="L45" s="89"/>
      <c r="M45" s="52" t="s">
        <v>3</v>
      </c>
      <c r="N45" s="89"/>
      <c r="O45" s="89"/>
      <c r="P45" s="52">
        <v>-2.5319999999999999E-2</v>
      </c>
      <c r="Q45" s="89"/>
      <c r="R45" s="52">
        <v>-3.4200000000000001E-2</v>
      </c>
      <c r="S45" s="89"/>
      <c r="T45" s="52">
        <v>15.439</v>
      </c>
      <c r="U45" s="89"/>
      <c r="V45" s="52">
        <v>26.073</v>
      </c>
      <c r="W45" s="89"/>
      <c r="X45" s="52">
        <v>-19.04</v>
      </c>
      <c r="Y45" s="89"/>
      <c r="Z45" s="89"/>
      <c r="AA45" s="52">
        <v>-36.994</v>
      </c>
      <c r="AB45" s="89"/>
      <c r="AC45" s="89"/>
      <c r="AD45" s="52">
        <v>2.0990000000000002E-3</v>
      </c>
      <c r="AE45" s="89"/>
      <c r="AF45" s="52"/>
      <c r="AG45" s="89"/>
      <c r="AH45" s="72">
        <v>5.7499999999999218</v>
      </c>
      <c r="AI45" s="89"/>
      <c r="AJ45" s="52">
        <v>666.4</v>
      </c>
      <c r="AK45" s="89"/>
      <c r="AL45" s="52">
        <v>0.14000000000000001</v>
      </c>
      <c r="AM45" s="89"/>
      <c r="AN45" s="89"/>
      <c r="AO45" s="52">
        <v>0.378</v>
      </c>
      <c r="AP45" s="89"/>
      <c r="AQ45" s="89"/>
      <c r="AR45" s="52">
        <v>25.617328519855597</v>
      </c>
      <c r="AS45" s="89"/>
      <c r="AT45" s="52">
        <v>41.321299638989167</v>
      </c>
      <c r="AU45" s="89"/>
    </row>
    <row r="46" spans="1:47" x14ac:dyDescent="0.35">
      <c r="A46" s="88">
        <v>23</v>
      </c>
      <c r="B46" s="52">
        <v>-12.478</v>
      </c>
      <c r="C46" s="89">
        <f t="shared" ref="C46" si="396">AVERAGE(B46:B47)</f>
        <v>-14.617000000000001</v>
      </c>
      <c r="D46" s="52">
        <v>-16.648</v>
      </c>
      <c r="E46" s="89">
        <f t="shared" ref="E46" si="397">AVERAGE(D46:D47)</f>
        <v>-17.456499999999998</v>
      </c>
      <c r="F46" s="52">
        <v>7.2729999999999997</v>
      </c>
      <c r="G46" s="89">
        <f t="shared" ref="G46" si="398">AVERAGE(F46:F47)</f>
        <v>7.3338999999999999</v>
      </c>
      <c r="H46" s="52">
        <v>6.5122999999999998</v>
      </c>
      <c r="I46" s="89">
        <f t="shared" ref="I46" si="399">AVERAGE(H46:H47)</f>
        <v>6.492</v>
      </c>
      <c r="J46" s="52">
        <v>-0.1288</v>
      </c>
      <c r="K46" s="89">
        <f t="shared" ref="K46:N46" si="400">AVERAGE(J46:J47)</f>
        <v>-0.1288</v>
      </c>
      <c r="L46" s="89">
        <f>K46-'Hoja en sucio'!$W$117</f>
        <v>-3.9657142857142835E-2</v>
      </c>
      <c r="M46" s="52">
        <v>-0.1114</v>
      </c>
      <c r="N46" s="89">
        <f t="shared" si="400"/>
        <v>-0.1114</v>
      </c>
      <c r="O46" s="89">
        <f>N46-'Hoja en sucio'!$W$117</f>
        <v>-2.2257142857142836E-2</v>
      </c>
      <c r="P46" s="52">
        <v>-3.5450000000000002E-2</v>
      </c>
      <c r="Q46" s="89">
        <f t="shared" ref="Q46:S46" si="401">AVERAGE(P46:P47)</f>
        <v>-3.7559999999999996E-2</v>
      </c>
      <c r="R46" s="52">
        <v>-1.18E-2</v>
      </c>
      <c r="S46" s="89">
        <f t="shared" si="401"/>
        <v>-2.5499999999999998E-2</v>
      </c>
      <c r="T46" s="52">
        <v>18.706</v>
      </c>
      <c r="U46" s="89">
        <f t="shared" ref="U46" si="402">AVERAGE(T46:T47)</f>
        <v>18.540500000000002</v>
      </c>
      <c r="V46" s="52">
        <v>17.899000000000001</v>
      </c>
      <c r="W46" s="89">
        <f t="shared" ref="W46" si="403">AVERAGE(V46:V47)</f>
        <v>19.07</v>
      </c>
      <c r="X46" s="52">
        <v>-15.444000000000001</v>
      </c>
      <c r="Y46" s="89">
        <f t="shared" ref="Y46" si="404">AVERAGE(X46:X47)</f>
        <v>-16.866500000000002</v>
      </c>
      <c r="Z46" s="89">
        <f>Y46-'Hoja en sucio'!$G$114</f>
        <v>-5.8012500000000031</v>
      </c>
      <c r="AA46" s="52">
        <v>-23.876999999999999</v>
      </c>
      <c r="AB46" s="89">
        <f t="shared" ref="AB46" si="405">AVERAGE(AA46:AA47)</f>
        <v>-24.714500000000001</v>
      </c>
      <c r="AC46" s="89">
        <f>AB46-'Hoja en sucio'!$H$114</f>
        <v>-13.649250000000002</v>
      </c>
      <c r="AD46" s="52">
        <v>9.7889999999999991E-3</v>
      </c>
      <c r="AE46" s="89">
        <f t="shared" ref="AE46" si="406">AVERAGE(AD46:AD47)</f>
        <v>8.6049999999999998E-3</v>
      </c>
      <c r="AF46" s="52">
        <v>6.6980000000000008E-3</v>
      </c>
      <c r="AG46" s="89">
        <f t="shared" ref="AG46:AI46" si="407">AVERAGE(AF46:AF47)</f>
        <v>6.6980000000000008E-3</v>
      </c>
      <c r="AH46" s="52">
        <v>403.25</v>
      </c>
      <c r="AI46" s="89">
        <f t="shared" si="407"/>
        <v>390.75</v>
      </c>
      <c r="AJ46" s="52">
        <v>562.4</v>
      </c>
      <c r="AK46" s="89">
        <f t="shared" ref="AK46" si="408">AVERAGE(AJ46:AJ47)</f>
        <v>564.4</v>
      </c>
      <c r="AL46" s="52">
        <v>0.217</v>
      </c>
      <c r="AM46" s="89">
        <f t="shared" ref="AM46" si="409">AVERAGE(AL46:AL47)</f>
        <v>0.22699999999999998</v>
      </c>
      <c r="AN46" s="89">
        <f t="shared" ref="AN46" si="410">30*AM46</f>
        <v>6.81</v>
      </c>
      <c r="AO46" s="52">
        <v>0.39700000000000002</v>
      </c>
      <c r="AP46" s="89">
        <f t="shared" ref="AP46" si="411">AVERAGE(AO46:AO47)</f>
        <v>0.42300000000000004</v>
      </c>
      <c r="AQ46" s="89">
        <f t="shared" ref="AQ46" si="412">30*AP46</f>
        <v>12.690000000000001</v>
      </c>
      <c r="AR46" s="52">
        <v>27.422382671480147</v>
      </c>
      <c r="AS46" s="89">
        <f t="shared" ref="AS46" si="413">AVERAGE(AR46:AR47)</f>
        <v>27.332129963898918</v>
      </c>
      <c r="AT46" s="52">
        <v>54.55836341756919</v>
      </c>
      <c r="AU46" s="89">
        <f t="shared" ref="AU46" si="414">AVERAGE(AT46:AT47)</f>
        <v>56.303249097472921</v>
      </c>
    </row>
    <row r="47" spans="1:47" x14ac:dyDescent="0.35">
      <c r="A47" s="88"/>
      <c r="B47" s="52">
        <v>-16.756</v>
      </c>
      <c r="C47" s="89"/>
      <c r="D47" s="52">
        <v>-18.265000000000001</v>
      </c>
      <c r="E47" s="89"/>
      <c r="F47" s="52">
        <v>7.3948</v>
      </c>
      <c r="G47" s="89"/>
      <c r="H47" s="52">
        <v>6.4717000000000002</v>
      </c>
      <c r="I47" s="89"/>
      <c r="J47" s="52" t="s">
        <v>3</v>
      </c>
      <c r="K47" s="89"/>
      <c r="L47" s="89"/>
      <c r="M47" s="52" t="s">
        <v>3</v>
      </c>
      <c r="N47" s="89"/>
      <c r="O47" s="89"/>
      <c r="P47" s="52">
        <v>-3.9669999999999997E-2</v>
      </c>
      <c r="Q47" s="89"/>
      <c r="R47" s="52">
        <v>-3.9199999999999999E-2</v>
      </c>
      <c r="S47" s="89"/>
      <c r="T47" s="52">
        <v>18.375</v>
      </c>
      <c r="U47" s="89"/>
      <c r="V47" s="52">
        <v>20.241</v>
      </c>
      <c r="W47" s="89"/>
      <c r="X47" s="52">
        <v>-18.289000000000001</v>
      </c>
      <c r="Y47" s="89"/>
      <c r="Z47" s="89"/>
      <c r="AA47" s="52">
        <v>-25.552</v>
      </c>
      <c r="AB47" s="89"/>
      <c r="AC47" s="89"/>
      <c r="AD47" s="52">
        <v>7.4210000000000005E-3</v>
      </c>
      <c r="AE47" s="89"/>
      <c r="AF47" s="52"/>
      <c r="AG47" s="89"/>
      <c r="AH47" s="52">
        <v>378.24999999999994</v>
      </c>
      <c r="AI47" s="89"/>
      <c r="AJ47" s="52">
        <v>566.4</v>
      </c>
      <c r="AK47" s="89"/>
      <c r="AL47" s="52">
        <v>0.23699999999999999</v>
      </c>
      <c r="AM47" s="89"/>
      <c r="AN47" s="89"/>
      <c r="AO47" s="52">
        <v>0.44900000000000001</v>
      </c>
      <c r="AP47" s="89"/>
      <c r="AQ47" s="89"/>
      <c r="AR47" s="52">
        <v>27.241877256317689</v>
      </c>
      <c r="AS47" s="89"/>
      <c r="AT47" s="52">
        <v>58.048134777376653</v>
      </c>
      <c r="AU47" s="89"/>
    </row>
    <row r="48" spans="1:47" x14ac:dyDescent="0.35">
      <c r="A48" s="88">
        <v>24</v>
      </c>
      <c r="B48" s="52">
        <v>-14.077</v>
      </c>
      <c r="C48" s="89">
        <f t="shared" ref="C48" si="415">AVERAGE(B48:B49)</f>
        <v>-15.3645</v>
      </c>
      <c r="D48" s="52">
        <v>-16.251000000000001</v>
      </c>
      <c r="E48" s="89">
        <f t="shared" ref="E48" si="416">AVERAGE(D48:D49)</f>
        <v>-16.161999999999999</v>
      </c>
      <c r="F48" s="52">
        <v>7.8106999999999998</v>
      </c>
      <c r="G48" s="89">
        <f t="shared" ref="G48" si="417">AVERAGE(F48:F49)</f>
        <v>9.4273500000000006</v>
      </c>
      <c r="H48" s="52">
        <v>8.2164000000000001</v>
      </c>
      <c r="I48" s="89">
        <f t="shared" ref="I48" si="418">AVERAGE(H48:H49)</f>
        <v>7.7193500000000004</v>
      </c>
      <c r="J48" s="52">
        <v>-0.1043</v>
      </c>
      <c r="K48" s="89">
        <f t="shared" ref="K48:N48" si="419">AVERAGE(J48:J49)</f>
        <v>-0.1043</v>
      </c>
      <c r="L48" s="89">
        <f>K48-'Hoja en sucio'!$W$117</f>
        <v>-1.5157142857142841E-2</v>
      </c>
      <c r="M48" s="52">
        <v>-0.18010000000000001</v>
      </c>
      <c r="N48" s="89">
        <f t="shared" si="419"/>
        <v>-0.18010000000000001</v>
      </c>
      <c r="O48" s="89">
        <f>N48-'Hoja en sucio'!$W$117</f>
        <v>-9.0957142857142848E-2</v>
      </c>
      <c r="P48" s="52">
        <v>-3.4200000000000001E-2</v>
      </c>
      <c r="Q48" s="89">
        <f t="shared" ref="Q48:S48" si="420">AVERAGE(P48:P49)</f>
        <v>-3.5409999999999997E-2</v>
      </c>
      <c r="R48" s="52">
        <v>-1.6E-2</v>
      </c>
      <c r="S48" s="89">
        <f t="shared" si="420"/>
        <v>-2.2234999999999998E-2</v>
      </c>
      <c r="T48" s="52">
        <v>28.600999999999999</v>
      </c>
      <c r="U48" s="89">
        <f t="shared" ref="U48" si="421">AVERAGE(T48:T49)</f>
        <v>27.2605</v>
      </c>
      <c r="V48" s="52">
        <v>16.681000000000001</v>
      </c>
      <c r="W48" s="89">
        <f t="shared" ref="W48" si="422">AVERAGE(V48:V49)</f>
        <v>17.356000000000002</v>
      </c>
      <c r="X48" s="52">
        <v>-25.93</v>
      </c>
      <c r="Y48" s="89">
        <f t="shared" ref="Y48" si="423">AVERAGE(X48:X49)</f>
        <v>-24.594999999999999</v>
      </c>
      <c r="Z48" s="89">
        <f>Y48-'Hoja en sucio'!$G$114</f>
        <v>-13.52975</v>
      </c>
      <c r="AA48" s="52">
        <v>-26.678000000000001</v>
      </c>
      <c r="AB48" s="89">
        <f t="shared" ref="AB48" si="424">AVERAGE(AA48:AA49)</f>
        <v>-27.433500000000002</v>
      </c>
      <c r="AC48" s="89">
        <f>AB48-'Hoja en sucio'!$H$114</f>
        <v>-16.368250000000003</v>
      </c>
      <c r="AD48" s="52">
        <v>1.2630000000000001E-2</v>
      </c>
      <c r="AE48" s="89">
        <f t="shared" ref="AE48" si="425">AVERAGE(AD48:AD49)</f>
        <v>1.8405000000000001E-2</v>
      </c>
      <c r="AF48" s="52">
        <v>2.5260000000000001E-2</v>
      </c>
      <c r="AG48" s="89">
        <f t="shared" ref="AG48:AI48" si="426">AVERAGE(AF48:AF49)</f>
        <v>2.5260000000000001E-2</v>
      </c>
      <c r="AH48" s="52">
        <v>163.24999999999991</v>
      </c>
      <c r="AI48" s="89">
        <f t="shared" si="426"/>
        <v>179.49999999999994</v>
      </c>
      <c r="AJ48" s="52">
        <v>510.4</v>
      </c>
      <c r="AK48" s="89">
        <f t="shared" ref="AK48" si="427">AVERAGE(AJ48:AJ49)</f>
        <v>515.4</v>
      </c>
      <c r="AL48" s="52">
        <v>0.23100000000000001</v>
      </c>
      <c r="AM48" s="89">
        <f t="shared" ref="AM48" si="428">AVERAGE(AL48:AL49)</f>
        <v>0.246</v>
      </c>
      <c r="AN48" s="89">
        <f t="shared" ref="AN48" si="429">30*AM48</f>
        <v>7.38</v>
      </c>
      <c r="AO48" s="52">
        <v>0.308</v>
      </c>
      <c r="AP48" s="89">
        <f t="shared" ref="AP48" si="430">AVERAGE(AO48:AO49)</f>
        <v>0.33199999999999996</v>
      </c>
      <c r="AQ48" s="89">
        <f t="shared" ref="AQ48" si="431">30*AP48</f>
        <v>9.9599999999999991</v>
      </c>
      <c r="AR48" s="52">
        <v>28.866425992779785</v>
      </c>
      <c r="AS48" s="89">
        <f t="shared" ref="AS48" si="432">AVERAGE(AR48:AR49)</f>
        <v>28.565583634175695</v>
      </c>
      <c r="AT48" s="52">
        <v>51.790613718411549</v>
      </c>
      <c r="AU48" s="89">
        <f t="shared" ref="AU48" si="433">AVERAGE(AT48:AT49)</f>
        <v>51.670276774969913</v>
      </c>
    </row>
    <row r="49" spans="1:47" x14ac:dyDescent="0.35">
      <c r="A49" s="88"/>
      <c r="B49" s="52">
        <v>-16.652000000000001</v>
      </c>
      <c r="C49" s="89"/>
      <c r="D49" s="52">
        <v>-16.073</v>
      </c>
      <c r="E49" s="89"/>
      <c r="F49" s="52">
        <v>11.044</v>
      </c>
      <c r="G49" s="89"/>
      <c r="H49" s="52">
        <v>7.2222999999999997</v>
      </c>
      <c r="I49" s="89"/>
      <c r="J49" s="52" t="s">
        <v>3</v>
      </c>
      <c r="K49" s="89"/>
      <c r="L49" s="89"/>
      <c r="M49" s="52" t="s">
        <v>3</v>
      </c>
      <c r="N49" s="89"/>
      <c r="O49" s="89"/>
      <c r="P49" s="52">
        <v>-3.662E-2</v>
      </c>
      <c r="Q49" s="89"/>
      <c r="R49" s="52">
        <v>-2.8469999999999999E-2</v>
      </c>
      <c r="S49" s="89"/>
      <c r="T49" s="52">
        <v>25.92</v>
      </c>
      <c r="U49" s="89"/>
      <c r="V49" s="52">
        <v>18.030999999999999</v>
      </c>
      <c r="W49" s="89"/>
      <c r="X49" s="52">
        <v>-23.26</v>
      </c>
      <c r="Y49" s="89"/>
      <c r="Z49" s="89"/>
      <c r="AA49" s="52">
        <v>-28.189</v>
      </c>
      <c r="AB49" s="89"/>
      <c r="AC49" s="89"/>
      <c r="AD49" s="52">
        <v>2.418E-2</v>
      </c>
      <c r="AE49" s="89"/>
      <c r="AF49" s="52"/>
      <c r="AG49" s="89"/>
      <c r="AH49" s="52">
        <v>195.74999999999994</v>
      </c>
      <c r="AI49" s="89"/>
      <c r="AJ49" s="52">
        <v>520.4</v>
      </c>
      <c r="AK49" s="89"/>
      <c r="AL49" s="52">
        <v>0.26100000000000001</v>
      </c>
      <c r="AM49" s="89"/>
      <c r="AN49" s="89"/>
      <c r="AO49" s="52">
        <v>0.35599999999999998</v>
      </c>
      <c r="AP49" s="89"/>
      <c r="AQ49" s="89"/>
      <c r="AR49" s="52">
        <v>28.264741275571602</v>
      </c>
      <c r="AS49" s="89"/>
      <c r="AT49" s="52">
        <v>51.549939831528278</v>
      </c>
      <c r="AU49" s="89"/>
    </row>
    <row r="50" spans="1:47" x14ac:dyDescent="0.35">
      <c r="A50" s="88">
        <v>25</v>
      </c>
      <c r="B50" s="52">
        <v>-4.7698999999999998</v>
      </c>
      <c r="C50" s="89">
        <f t="shared" ref="C50" si="434">AVERAGE(B50:B51)</f>
        <v>-8.5684500000000003</v>
      </c>
      <c r="D50" s="52">
        <v>-13.417999999999999</v>
      </c>
      <c r="E50" s="89">
        <f t="shared" ref="E50" si="435">AVERAGE(D50:D51)</f>
        <v>-14.509</v>
      </c>
      <c r="F50" s="52">
        <v>7.5063000000000004</v>
      </c>
      <c r="G50" s="89">
        <f t="shared" ref="G50" si="436">AVERAGE(F50:F51)</f>
        <v>7.6133000000000006</v>
      </c>
      <c r="H50" s="52">
        <v>5.9036</v>
      </c>
      <c r="I50" s="89">
        <f t="shared" ref="I50" si="437">AVERAGE(H50:H51)</f>
        <v>5.5536500000000002</v>
      </c>
      <c r="J50" s="52">
        <v>-8.4970000000000004E-2</v>
      </c>
      <c r="K50" s="89">
        <f t="shared" ref="K50:N50" si="438">AVERAGE(J50:J51)</f>
        <v>-8.4970000000000004E-2</v>
      </c>
      <c r="L50" s="89">
        <f>K50-'Hoja en sucio'!$W$117</f>
        <v>4.1728571428571587E-3</v>
      </c>
      <c r="M50" s="52">
        <v>-5.3999999999999999E-2</v>
      </c>
      <c r="N50" s="89">
        <f t="shared" si="438"/>
        <v>-5.3999999999999999E-2</v>
      </c>
      <c r="O50" s="89">
        <f>N50-'Hoja en sucio'!$W$117</f>
        <v>3.5142857142857163E-2</v>
      </c>
      <c r="P50" s="52">
        <v>-2.887E-2</v>
      </c>
      <c r="Q50" s="89">
        <f t="shared" ref="Q50:S50" si="439">AVERAGE(P50:P51)</f>
        <v>-3.193E-2</v>
      </c>
      <c r="R50" s="52">
        <v>-6.0400000000000002E-3</v>
      </c>
      <c r="S50" s="89">
        <f t="shared" si="439"/>
        <v>-1.06E-2</v>
      </c>
      <c r="T50" s="52">
        <v>12.096</v>
      </c>
      <c r="U50" s="89">
        <f t="shared" ref="U50" si="440">AVERAGE(T50:T51)</f>
        <v>12.7295</v>
      </c>
      <c r="V50" s="52">
        <v>23.215</v>
      </c>
      <c r="W50" s="89">
        <f t="shared" ref="W50" si="441">AVERAGE(V50:V51)</f>
        <v>23.463999999999999</v>
      </c>
      <c r="X50" s="52">
        <v>-13.846</v>
      </c>
      <c r="Y50" s="89">
        <f t="shared" ref="Y50" si="442">AVERAGE(X50:X51)</f>
        <v>-14.972</v>
      </c>
      <c r="Z50" s="89">
        <f>Y50-'Hoja en sucio'!$G$114</f>
        <v>-3.9067500000000006</v>
      </c>
      <c r="AA50" s="52">
        <v>-24.922999999999998</v>
      </c>
      <c r="AB50" s="89">
        <f t="shared" ref="AB50" si="443">AVERAGE(AA50:AA51)</f>
        <v>-24.425999999999998</v>
      </c>
      <c r="AC50" s="89">
        <f>AB50-'Hoja en sucio'!$H$114</f>
        <v>-13.360749999999999</v>
      </c>
      <c r="AD50" s="52">
        <v>1.6799999999999999E-2</v>
      </c>
      <c r="AE50" s="89">
        <f t="shared" ref="AE50" si="444">AVERAGE(AD50:AD51)</f>
        <v>1.6799999999999999E-2</v>
      </c>
      <c r="AF50" s="52">
        <v>2.6839999999999999E-2</v>
      </c>
      <c r="AG50" s="89">
        <f t="shared" ref="AG50:AI50" si="445">AVERAGE(AF50:AF51)</f>
        <v>2.664E-2</v>
      </c>
      <c r="AH50" s="52">
        <v>448.24999999999989</v>
      </c>
      <c r="AI50" s="89">
        <f t="shared" si="445"/>
        <v>408.24999999999989</v>
      </c>
      <c r="AJ50" s="52">
        <v>530.4</v>
      </c>
      <c r="AK50" s="89">
        <f t="shared" ref="AK50" si="446">AVERAGE(AJ50:AJ51)</f>
        <v>545.39999999999986</v>
      </c>
      <c r="AL50" s="52">
        <v>0.223</v>
      </c>
      <c r="AM50" s="89">
        <f t="shared" ref="AM50" si="447">AVERAGE(AL50:AL51)</f>
        <v>0.218</v>
      </c>
      <c r="AN50" s="89">
        <f t="shared" ref="AN50" si="448">30*AM50</f>
        <v>6.54</v>
      </c>
      <c r="AO50" s="52">
        <v>0.38200000000000001</v>
      </c>
      <c r="AP50" s="89">
        <f t="shared" ref="AP50" si="449">AVERAGE(AO50:AO51)</f>
        <v>0.4</v>
      </c>
      <c r="AQ50" s="89">
        <f t="shared" ref="AQ50" si="450">30*AP50</f>
        <v>12</v>
      </c>
      <c r="AR50" s="52">
        <v>30.190132370637787</v>
      </c>
      <c r="AS50" s="89">
        <f t="shared" ref="AS50" si="451">AVERAGE(AR50:AR51)</f>
        <v>29.979542719614926</v>
      </c>
      <c r="AT50" s="52">
        <v>36.868832731648617</v>
      </c>
      <c r="AU50" s="89">
        <f t="shared" ref="AU50" si="452">AVERAGE(AT50:AT51)</f>
        <v>37.651022864019254</v>
      </c>
    </row>
    <row r="51" spans="1:47" x14ac:dyDescent="0.35">
      <c r="A51" s="88"/>
      <c r="B51" s="52">
        <v>-12.367000000000001</v>
      </c>
      <c r="C51" s="89"/>
      <c r="D51" s="52">
        <v>-15.6</v>
      </c>
      <c r="E51" s="89"/>
      <c r="F51" s="52">
        <v>7.7202999999999999</v>
      </c>
      <c r="G51" s="89"/>
      <c r="H51" s="52">
        <v>5.2037000000000004</v>
      </c>
      <c r="I51" s="89"/>
      <c r="J51" s="52" t="s">
        <v>3</v>
      </c>
      <c r="K51" s="89"/>
      <c r="L51" s="89"/>
      <c r="M51" s="52" t="s">
        <v>3</v>
      </c>
      <c r="N51" s="89"/>
      <c r="O51" s="89"/>
      <c r="P51" s="52">
        <v>-3.499E-2</v>
      </c>
      <c r="Q51" s="89"/>
      <c r="R51" s="52">
        <v>-1.516E-2</v>
      </c>
      <c r="S51" s="89"/>
      <c r="T51" s="52">
        <v>13.363</v>
      </c>
      <c r="U51" s="89"/>
      <c r="V51" s="52">
        <v>23.713000000000001</v>
      </c>
      <c r="W51" s="89"/>
      <c r="X51" s="52">
        <v>-16.097999999999999</v>
      </c>
      <c r="Y51" s="89"/>
      <c r="Z51" s="89"/>
      <c r="AA51" s="52">
        <v>-23.928999999999998</v>
      </c>
      <c r="AB51" s="89"/>
      <c r="AC51" s="89"/>
      <c r="AD51" s="52"/>
      <c r="AE51" s="89"/>
      <c r="AF51" s="52">
        <v>2.6440000000000002E-2</v>
      </c>
      <c r="AG51" s="89"/>
      <c r="AH51" s="52">
        <v>368.24999999999994</v>
      </c>
      <c r="AI51" s="89"/>
      <c r="AJ51" s="52">
        <v>560.39999999999986</v>
      </c>
      <c r="AK51" s="89"/>
      <c r="AL51" s="52">
        <v>0.21299999999999999</v>
      </c>
      <c r="AM51" s="89"/>
      <c r="AN51" s="89"/>
      <c r="AO51" s="52">
        <v>0.41799999999999998</v>
      </c>
      <c r="AP51" s="89"/>
      <c r="AQ51" s="89"/>
      <c r="AR51" s="52">
        <v>29.768953068592062</v>
      </c>
      <c r="AS51" s="89"/>
      <c r="AT51" s="52">
        <v>38.433212996389891</v>
      </c>
      <c r="AU51" s="89"/>
    </row>
    <row r="52" spans="1:47" x14ac:dyDescent="0.35">
      <c r="A52" s="88">
        <v>26</v>
      </c>
      <c r="B52" s="52">
        <v>-4.5362</v>
      </c>
      <c r="C52" s="89">
        <f t="shared" ref="C52" si="453">AVERAGE(B52:B53)</f>
        <v>-6.89175</v>
      </c>
      <c r="D52" s="52">
        <v>-14.057</v>
      </c>
      <c r="E52" s="89">
        <f t="shared" ref="E52" si="454">AVERAGE(D52:D53)</f>
        <v>-14.145</v>
      </c>
      <c r="F52" s="52">
        <v>7.2526999999999999</v>
      </c>
      <c r="G52" s="89">
        <f t="shared" ref="G52" si="455">AVERAGE(F52:F53)</f>
        <v>7.8221500000000006</v>
      </c>
      <c r="H52" s="52">
        <v>6.2516999999999996</v>
      </c>
      <c r="I52" s="89">
        <f t="shared" ref="I52" si="456">AVERAGE(H52:H53)</f>
        <v>6.7003500000000003</v>
      </c>
      <c r="J52" s="52">
        <v>-0.11799999999999999</v>
      </c>
      <c r="K52" s="89">
        <f t="shared" ref="K52:N52" si="457">AVERAGE(J52:J53)</f>
        <v>-0.11799999999999999</v>
      </c>
      <c r="L52" s="89">
        <f>K52-'Hoja en sucio'!$W$117</f>
        <v>-2.8857142857142831E-2</v>
      </c>
      <c r="M52" s="52">
        <v>-5.9089999999999997E-2</v>
      </c>
      <c r="N52" s="89">
        <f t="shared" si="457"/>
        <v>-5.9089999999999997E-2</v>
      </c>
      <c r="O52" s="89">
        <f>N52-'Hoja en sucio'!$W$117</f>
        <v>3.0052857142857166E-2</v>
      </c>
      <c r="P52" s="52">
        <v>-2.2929999999999999E-2</v>
      </c>
      <c r="Q52" s="89">
        <f t="shared" ref="Q52:S52" si="458">AVERAGE(P52:P53)</f>
        <v>-2.7465E-2</v>
      </c>
      <c r="R52" s="52">
        <v>-2.8600000000000001E-3</v>
      </c>
      <c r="S52" s="89">
        <f t="shared" si="458"/>
        <v>-1.7455000000000001E-3</v>
      </c>
      <c r="T52" s="52">
        <v>15.981999999999999</v>
      </c>
      <c r="U52" s="89">
        <f t="shared" ref="U52" si="459">AVERAGE(T52:T53)</f>
        <v>12.4803</v>
      </c>
      <c r="V52" s="52">
        <v>15.488</v>
      </c>
      <c r="W52" s="89">
        <f t="shared" ref="W52" si="460">AVERAGE(V52:V53)</f>
        <v>16.095500000000001</v>
      </c>
      <c r="X52" s="52">
        <v>-16.777999999999999</v>
      </c>
      <c r="Y52" s="89">
        <f t="shared" ref="Y52" si="461">AVERAGE(X52:X53)</f>
        <v>-16.792999999999999</v>
      </c>
      <c r="Z52" s="89">
        <f>Y52-'Hoja en sucio'!$G$114</f>
        <v>-5.7277500000000003</v>
      </c>
      <c r="AA52" s="52">
        <v>-19.263000000000002</v>
      </c>
      <c r="AB52" s="89">
        <f t="shared" ref="AB52" si="462">AVERAGE(AA52:AA53)</f>
        <v>-18.908000000000001</v>
      </c>
      <c r="AC52" s="89">
        <f>AB52-'Hoja en sucio'!$H$114</f>
        <v>-7.8427500000000023</v>
      </c>
      <c r="AD52" s="52">
        <v>2.0389999999999998E-2</v>
      </c>
      <c r="AE52" s="89">
        <f t="shared" ref="AE52" si="463">AVERAGE(AD52:AD53)</f>
        <v>2.9774999999999999E-2</v>
      </c>
      <c r="AF52" s="52">
        <v>1.8319999999999999E-2</v>
      </c>
      <c r="AG52" s="89">
        <f t="shared" ref="AG52:AI52" si="464">AVERAGE(AF52:AF53)</f>
        <v>2.027E-2</v>
      </c>
      <c r="AH52" s="52">
        <v>268.24999999999989</v>
      </c>
      <c r="AI52" s="89">
        <f t="shared" si="464"/>
        <v>225.74999999999991</v>
      </c>
      <c r="AJ52" s="52">
        <v>622.39999999999986</v>
      </c>
      <c r="AK52" s="89">
        <f t="shared" ref="AK52" si="465">AVERAGE(AJ52:AJ53)</f>
        <v>657.39999999999986</v>
      </c>
      <c r="AL52" s="52">
        <v>0.22700000000000001</v>
      </c>
      <c r="AM52" s="89">
        <f t="shared" ref="AM52" si="466">AVERAGE(AL52:AL53)</f>
        <v>0.23449999999999999</v>
      </c>
      <c r="AN52" s="89">
        <f t="shared" ref="AN52" si="467">30*AM52</f>
        <v>7.0349999999999993</v>
      </c>
      <c r="AO52" s="52">
        <v>0.32500000000000001</v>
      </c>
      <c r="AP52" s="89">
        <f t="shared" ref="AP52" si="468">AVERAGE(AO52:AO53)</f>
        <v>0.33599999999999997</v>
      </c>
      <c r="AQ52" s="89">
        <f t="shared" ref="AQ52" si="469">30*AP52</f>
        <v>10.079999999999998</v>
      </c>
      <c r="AR52" s="52">
        <v>37.951865222623347</v>
      </c>
      <c r="AS52" s="89">
        <f t="shared" ref="AS52" si="470">AVERAGE(AR52:AR53)</f>
        <v>37.891696750902526</v>
      </c>
      <c r="AT52" s="52">
        <v>70.38267148014441</v>
      </c>
      <c r="AU52" s="89">
        <f t="shared" ref="AU52" si="471">AVERAGE(AT52:AT53)</f>
        <v>72.157641395908541</v>
      </c>
    </row>
    <row r="53" spans="1:47" x14ac:dyDescent="0.35">
      <c r="A53" s="88"/>
      <c r="B53" s="52">
        <v>-9.2472999999999992</v>
      </c>
      <c r="C53" s="89"/>
      <c r="D53" s="52">
        <v>-14.233000000000001</v>
      </c>
      <c r="E53" s="89"/>
      <c r="F53" s="52">
        <v>8.3916000000000004</v>
      </c>
      <c r="G53" s="89"/>
      <c r="H53" s="52">
        <v>7.149</v>
      </c>
      <c r="I53" s="89"/>
      <c r="J53" s="52" t="s">
        <v>3</v>
      </c>
      <c r="K53" s="89"/>
      <c r="L53" s="89"/>
      <c r="M53" s="52" t="s">
        <v>3</v>
      </c>
      <c r="N53" s="89"/>
      <c r="O53" s="89"/>
      <c r="P53" s="52">
        <v>-3.2000000000000001E-2</v>
      </c>
      <c r="Q53" s="89"/>
      <c r="R53" s="52">
        <v>-6.3100000000000005E-4</v>
      </c>
      <c r="S53" s="89"/>
      <c r="T53" s="52">
        <v>8.9786000000000001</v>
      </c>
      <c r="U53" s="89"/>
      <c r="V53" s="52">
        <v>16.702999999999999</v>
      </c>
      <c r="W53" s="89"/>
      <c r="X53" s="52">
        <v>-16.808</v>
      </c>
      <c r="Y53" s="89"/>
      <c r="Z53" s="89"/>
      <c r="AA53" s="52">
        <v>-18.553000000000001</v>
      </c>
      <c r="AB53" s="89"/>
      <c r="AC53" s="89"/>
      <c r="AD53" s="52">
        <v>3.916E-2</v>
      </c>
      <c r="AE53" s="89"/>
      <c r="AF53" s="52">
        <v>2.222E-2</v>
      </c>
      <c r="AG53" s="89"/>
      <c r="AH53" s="52">
        <v>183.24999999999994</v>
      </c>
      <c r="AI53" s="89"/>
      <c r="AJ53" s="52">
        <v>692.39999999999986</v>
      </c>
      <c r="AK53" s="89"/>
      <c r="AL53" s="52">
        <v>0.24199999999999999</v>
      </c>
      <c r="AM53" s="89"/>
      <c r="AN53" s="89"/>
      <c r="AO53" s="52">
        <v>0.34699999999999998</v>
      </c>
      <c r="AP53" s="89"/>
      <c r="AQ53" s="89"/>
      <c r="AR53" s="52">
        <v>37.831528279181711</v>
      </c>
      <c r="AS53" s="89"/>
      <c r="AT53" s="52">
        <v>73.932611311672687</v>
      </c>
      <c r="AU53" s="89"/>
    </row>
    <row r="54" spans="1:47" x14ac:dyDescent="0.35">
      <c r="A54" s="88">
        <v>27</v>
      </c>
      <c r="B54" s="52">
        <v>-15.336</v>
      </c>
      <c r="C54" s="89">
        <f t="shared" ref="C54" si="472">AVERAGE(B54:B55)</f>
        <v>-15.336</v>
      </c>
      <c r="D54" s="52">
        <v>-10.050000000000001</v>
      </c>
      <c r="E54" s="89">
        <f t="shared" ref="E54" si="473">AVERAGE(D54:D55)</f>
        <v>-10.3505</v>
      </c>
      <c r="F54" s="52">
        <v>6.4717000000000002</v>
      </c>
      <c r="G54" s="89">
        <f t="shared" ref="G54" si="474">AVERAGE(F54:F55)</f>
        <v>6.6543000000000001</v>
      </c>
      <c r="H54" s="52">
        <v>6.2130000000000001</v>
      </c>
      <c r="I54" s="89">
        <f t="shared" ref="I54" si="475">AVERAGE(H54:H55)</f>
        <v>6.1694499999999994</v>
      </c>
      <c r="J54" s="52">
        <v>-6.6049999999999998E-2</v>
      </c>
      <c r="K54" s="89">
        <f t="shared" ref="K54:N54" si="476">AVERAGE(J54:J55)</f>
        <v>-6.6049999999999998E-2</v>
      </c>
      <c r="L54" s="89">
        <f>K54-'Hoja en sucio'!$W$117</f>
        <v>2.3092857142857165E-2</v>
      </c>
      <c r="M54" s="52">
        <v>-7.2910000000000003E-2</v>
      </c>
      <c r="N54" s="89">
        <f t="shared" si="476"/>
        <v>-7.2910000000000003E-2</v>
      </c>
      <c r="O54" s="89">
        <f>N54-'Hoja en sucio'!$W$117</f>
        <v>1.623285714285716E-2</v>
      </c>
      <c r="P54" s="52">
        <v>-2.4660000000000001E-2</v>
      </c>
      <c r="Q54" s="89">
        <f t="shared" ref="Q54:S54" si="477">AVERAGE(P54:P55)</f>
        <v>-2.7360000000000002E-2</v>
      </c>
      <c r="R54" s="52">
        <v>-1.7160000000000002E-2</v>
      </c>
      <c r="S54" s="89">
        <f t="shared" si="477"/>
        <v>-2.545E-2</v>
      </c>
      <c r="T54" s="52">
        <v>18.757999999999999</v>
      </c>
      <c r="U54" s="89">
        <f t="shared" ref="U54" si="478">AVERAGE(T54:T55)</f>
        <v>14.733000000000001</v>
      </c>
      <c r="V54" s="52">
        <v>11.500999999999999</v>
      </c>
      <c r="W54" s="89">
        <f t="shared" ref="W54" si="479">AVERAGE(V54:V55)</f>
        <v>11.478999999999999</v>
      </c>
      <c r="X54" s="52">
        <v>-30.501999999999999</v>
      </c>
      <c r="Y54" s="89">
        <f t="shared" ref="Y54" si="480">AVERAGE(X54:X55)</f>
        <v>-30.786000000000001</v>
      </c>
      <c r="Z54" s="89">
        <f>Y54-'Hoja en sucio'!$G$114</f>
        <v>-19.720750000000002</v>
      </c>
      <c r="AA54" s="52">
        <v>-18.489999999999998</v>
      </c>
      <c r="AB54" s="89">
        <f t="shared" ref="AB54" si="481">AVERAGE(AA54:AA55)</f>
        <v>-18.074999999999999</v>
      </c>
      <c r="AC54" s="89">
        <f>AB54-'Hoja en sucio'!$H$114</f>
        <v>-7.0097500000000004</v>
      </c>
      <c r="AD54" s="52">
        <v>8.2509999999999994E-4</v>
      </c>
      <c r="AE54" s="89">
        <f t="shared" ref="AE54" si="482">AVERAGE(AD54:AD55)</f>
        <v>9.5904999999999992E-4</v>
      </c>
      <c r="AF54" s="52">
        <v>7.9830000000000005E-3</v>
      </c>
      <c r="AG54" s="89">
        <f t="shared" ref="AG54:AI54" si="483">AVERAGE(AF54:AF55)</f>
        <v>9.0115000000000004E-3</v>
      </c>
      <c r="AH54" s="52">
        <v>495.74999999999994</v>
      </c>
      <c r="AI54" s="89">
        <f t="shared" si="483"/>
        <v>480.74999999999989</v>
      </c>
      <c r="AJ54" s="52">
        <v>706.39999999999986</v>
      </c>
      <c r="AK54" s="89">
        <f t="shared" ref="AK54" si="484">AVERAGE(AJ54:AJ55)</f>
        <v>725.39999999999986</v>
      </c>
      <c r="AL54" s="52">
        <v>0.17899999999999999</v>
      </c>
      <c r="AM54" s="89">
        <f t="shared" ref="AM54" si="485">AVERAGE(AL54:AL55)</f>
        <v>0.193</v>
      </c>
      <c r="AN54" s="89">
        <f t="shared" ref="AN54" si="486">30*AM54</f>
        <v>5.79</v>
      </c>
      <c r="AO54" s="52">
        <v>0.378</v>
      </c>
      <c r="AP54" s="89">
        <f t="shared" ref="AP54" si="487">AVERAGE(AO54:AO55)</f>
        <v>0.38550000000000001</v>
      </c>
      <c r="AQ54" s="89">
        <f t="shared" ref="AQ54" si="488">30*AP54</f>
        <v>11.565</v>
      </c>
      <c r="AR54" s="52">
        <v>14.425992779783396</v>
      </c>
      <c r="AS54" s="89">
        <f t="shared" ref="AS54" si="489">AVERAGE(AR54:AR55)</f>
        <v>14.425992779783396</v>
      </c>
      <c r="AT54" s="52">
        <v>54.197352587244282</v>
      </c>
      <c r="AU54" s="89">
        <f t="shared" ref="AU54" si="490">AVERAGE(AT54:AT55)</f>
        <v>53.896510228640196</v>
      </c>
    </row>
    <row r="55" spans="1:47" x14ac:dyDescent="0.35">
      <c r="A55" s="88"/>
      <c r="B55" s="52" t="s">
        <v>3</v>
      </c>
      <c r="C55" s="89"/>
      <c r="D55" s="52">
        <v>-10.651</v>
      </c>
      <c r="E55" s="89"/>
      <c r="F55" s="52">
        <v>6.8369</v>
      </c>
      <c r="G55" s="89"/>
      <c r="H55" s="52">
        <v>6.1258999999999997</v>
      </c>
      <c r="I55" s="89"/>
      <c r="J55" s="52" t="s">
        <v>3</v>
      </c>
      <c r="K55" s="89"/>
      <c r="L55" s="89"/>
      <c r="M55" s="52" t="s">
        <v>3</v>
      </c>
      <c r="N55" s="89"/>
      <c r="O55" s="89"/>
      <c r="P55" s="52">
        <v>-3.006E-2</v>
      </c>
      <c r="Q55" s="89"/>
      <c r="R55" s="52">
        <v>-3.3739999999999999E-2</v>
      </c>
      <c r="S55" s="89"/>
      <c r="T55" s="52">
        <v>10.708</v>
      </c>
      <c r="U55" s="89"/>
      <c r="V55" s="52">
        <v>11.457000000000001</v>
      </c>
      <c r="W55" s="89"/>
      <c r="X55" s="52">
        <v>-31.07</v>
      </c>
      <c r="Y55" s="89"/>
      <c r="Z55" s="89"/>
      <c r="AA55" s="52">
        <v>-17.66</v>
      </c>
      <c r="AB55" s="89"/>
      <c r="AC55" s="89"/>
      <c r="AD55" s="52">
        <v>1.093E-3</v>
      </c>
      <c r="AE55" s="89"/>
      <c r="AF55" s="52">
        <v>1.004E-2</v>
      </c>
      <c r="AG55" s="89"/>
      <c r="AH55" s="52">
        <v>465.74999999999989</v>
      </c>
      <c r="AI55" s="89"/>
      <c r="AJ55" s="52">
        <v>744.4</v>
      </c>
      <c r="AK55" s="89"/>
      <c r="AL55" s="52">
        <v>0.20699999999999999</v>
      </c>
      <c r="AM55" s="89"/>
      <c r="AN55" s="89"/>
      <c r="AO55" s="52">
        <v>0.39300000000000002</v>
      </c>
      <c r="AP55" s="89"/>
      <c r="AQ55" s="89"/>
      <c r="AR55" s="52">
        <v>14.425992779783396</v>
      </c>
      <c r="AS55" s="89"/>
      <c r="AT55" s="52">
        <v>53.595667870036102</v>
      </c>
      <c r="AU55" s="89"/>
    </row>
    <row r="56" spans="1:47" x14ac:dyDescent="0.35">
      <c r="A56" s="88">
        <v>28</v>
      </c>
      <c r="B56" s="52">
        <v>-10.651</v>
      </c>
      <c r="C56" s="89">
        <f t="shared" ref="C56" si="491">AVERAGE(B56:B57)</f>
        <v>-12.439</v>
      </c>
      <c r="D56" s="52">
        <v>-14.750999999999999</v>
      </c>
      <c r="E56" s="89">
        <f t="shared" ref="E56" si="492">AVERAGE(D56:D57)</f>
        <v>-14.9415</v>
      </c>
      <c r="F56" s="52">
        <v>7.6839000000000004</v>
      </c>
      <c r="G56" s="89">
        <f t="shared" ref="G56" si="493">AVERAGE(F56:F57)</f>
        <v>7.6839000000000004</v>
      </c>
      <c r="H56" s="52">
        <v>4.2350000000000003</v>
      </c>
      <c r="I56" s="89">
        <f t="shared" ref="I56" si="494">AVERAGE(H56:H57)</f>
        <v>4.2350000000000003</v>
      </c>
      <c r="J56" s="52">
        <v>-0.1452</v>
      </c>
      <c r="K56" s="89">
        <f t="shared" ref="K56:N56" si="495">AVERAGE(J56:J57)</f>
        <v>-0.1452</v>
      </c>
      <c r="L56" s="89">
        <f>K56-'Hoja en sucio'!$W$117</f>
        <v>-5.6057142857142833E-2</v>
      </c>
      <c r="M56" s="52">
        <v>-4.2000000000000003E-2</v>
      </c>
      <c r="N56" s="89">
        <f t="shared" si="495"/>
        <v>-4.2000000000000003E-2</v>
      </c>
      <c r="O56" s="89">
        <f>N56-'Hoja en sucio'!$W$117</f>
        <v>4.714285714285716E-2</v>
      </c>
      <c r="P56" s="52">
        <v>-2.4760000000000001E-2</v>
      </c>
      <c r="Q56" s="89">
        <f t="shared" ref="Q56:S56" si="496">AVERAGE(P56:P57)</f>
        <v>-3.0304999999999999E-2</v>
      </c>
      <c r="R56" s="52">
        <v>-2.9270000000000001E-2</v>
      </c>
      <c r="S56" s="89">
        <f t="shared" si="496"/>
        <v>-2.3475000000000003E-2</v>
      </c>
      <c r="T56" s="52">
        <v>11.176</v>
      </c>
      <c r="U56" s="89">
        <f t="shared" ref="U56" si="497">AVERAGE(T56:T57)</f>
        <v>9.2056500000000003</v>
      </c>
      <c r="V56" s="52">
        <v>22.831</v>
      </c>
      <c r="W56" s="89">
        <f t="shared" ref="W56" si="498">AVERAGE(V56:V57)</f>
        <v>23.060499999999998</v>
      </c>
      <c r="X56" s="52">
        <v>-14.739000000000001</v>
      </c>
      <c r="Y56" s="89">
        <f t="shared" ref="Y56" si="499">AVERAGE(X56:X57)</f>
        <v>-14.749000000000001</v>
      </c>
      <c r="Z56" s="89">
        <f>Y56-'Hoja en sucio'!$G$114</f>
        <v>-3.6837500000000016</v>
      </c>
      <c r="AA56" s="52">
        <v>-20.216000000000001</v>
      </c>
      <c r="AB56" s="89">
        <f t="shared" ref="AB56" si="500">AVERAGE(AA56:AA57)</f>
        <v>-19.856000000000002</v>
      </c>
      <c r="AC56" s="89">
        <f>AB56-'Hoja en sucio'!$H$114</f>
        <v>-8.7907500000000027</v>
      </c>
      <c r="AD56" s="75">
        <v>1.3489999999999999E-3</v>
      </c>
      <c r="AE56" s="89">
        <f>AVERAGE(AD57:AD57)</f>
        <v>1.308E-2</v>
      </c>
      <c r="AF56" s="52">
        <v>1.0829999999999999E-2</v>
      </c>
      <c r="AG56" s="89">
        <f t="shared" ref="AG56:AI56" si="501">AVERAGE(AF56:AF57)</f>
        <v>1.137E-2</v>
      </c>
      <c r="AH56" s="52">
        <v>458.24999999999989</v>
      </c>
      <c r="AI56" s="89">
        <f t="shared" si="501"/>
        <v>466.99999999999989</v>
      </c>
      <c r="AJ56" s="52">
        <v>734.4</v>
      </c>
      <c r="AK56" s="89">
        <f t="shared" ref="AK56" si="502">AVERAGE(AJ56:AJ57)</f>
        <v>731.4</v>
      </c>
      <c r="AL56" s="52">
        <v>0.20200000000000001</v>
      </c>
      <c r="AM56" s="89">
        <f t="shared" ref="AM56" si="503">AVERAGE(AL56:AL57)</f>
        <v>0.21250000000000002</v>
      </c>
      <c r="AN56" s="89">
        <f t="shared" ref="AN56" si="504">30*AM56</f>
        <v>6.3750000000000009</v>
      </c>
      <c r="AO56" s="52">
        <v>0.36799999999999999</v>
      </c>
      <c r="AP56" s="89">
        <f t="shared" ref="AP56" si="505">AVERAGE(AO56:AO57)</f>
        <v>0.38600000000000001</v>
      </c>
      <c r="AQ56" s="89">
        <f t="shared" ref="AQ56" si="506">30*AP56</f>
        <v>11.58</v>
      </c>
      <c r="AR56" s="52">
        <v>30.972322503008424</v>
      </c>
      <c r="AS56" s="89">
        <f t="shared" ref="AS56" si="507">AVERAGE(AR56:AR57)</f>
        <v>29.347773766546332</v>
      </c>
      <c r="AT56" s="52">
        <v>50.105896510228639</v>
      </c>
      <c r="AU56" s="89">
        <f t="shared" ref="AU56" si="508">AVERAGE(AT56:AT57)</f>
        <v>50.406738868832733</v>
      </c>
    </row>
    <row r="57" spans="1:47" x14ac:dyDescent="0.35">
      <c r="A57" s="88"/>
      <c r="B57" s="52">
        <v>-14.227</v>
      </c>
      <c r="C57" s="89"/>
      <c r="D57" s="52">
        <v>-15.132</v>
      </c>
      <c r="E57" s="89"/>
      <c r="F57" s="52">
        <v>7.6839000000000004</v>
      </c>
      <c r="G57" s="89"/>
      <c r="H57" s="52">
        <v>4.2350000000000003</v>
      </c>
      <c r="I57" s="89"/>
      <c r="J57" s="52" t="s">
        <v>3</v>
      </c>
      <c r="K57" s="89"/>
      <c r="L57" s="89"/>
      <c r="M57" s="52" t="s">
        <v>3</v>
      </c>
      <c r="N57" s="89"/>
      <c r="O57" s="89"/>
      <c r="P57" s="52">
        <v>-3.585E-2</v>
      </c>
      <c r="Q57" s="89"/>
      <c r="R57" s="52">
        <v>-1.7680000000000001E-2</v>
      </c>
      <c r="S57" s="89"/>
      <c r="T57" s="52">
        <v>7.2352999999999996</v>
      </c>
      <c r="U57" s="89"/>
      <c r="V57" s="52">
        <v>23.29</v>
      </c>
      <c r="W57" s="89"/>
      <c r="X57" s="52">
        <v>-14.759</v>
      </c>
      <c r="Y57" s="89"/>
      <c r="Z57" s="89"/>
      <c r="AA57" s="52">
        <v>-19.495999999999999</v>
      </c>
      <c r="AB57" s="89"/>
      <c r="AC57" s="89"/>
      <c r="AD57" s="52">
        <v>1.308E-2</v>
      </c>
      <c r="AE57" s="89"/>
      <c r="AF57" s="52">
        <v>1.191E-2</v>
      </c>
      <c r="AG57" s="89"/>
      <c r="AH57" s="52">
        <v>475.74999999999989</v>
      </c>
      <c r="AI57" s="89"/>
      <c r="AJ57" s="52">
        <v>728.4</v>
      </c>
      <c r="AK57" s="89"/>
      <c r="AL57" s="52">
        <v>0.223</v>
      </c>
      <c r="AM57" s="89"/>
      <c r="AN57" s="89"/>
      <c r="AO57" s="52">
        <v>0.40400000000000003</v>
      </c>
      <c r="AP57" s="89"/>
      <c r="AQ57" s="89"/>
      <c r="AR57" s="52">
        <v>27.723225030084237</v>
      </c>
      <c r="AS57" s="89"/>
      <c r="AT57" s="52">
        <v>50.707581227436819</v>
      </c>
      <c r="AU57" s="89"/>
    </row>
    <row r="58" spans="1:47" x14ac:dyDescent="0.35">
      <c r="A58" s="88">
        <v>29</v>
      </c>
      <c r="B58" s="52">
        <v>-7.7408999999999999</v>
      </c>
      <c r="C58" s="89">
        <f t="shared" ref="C58" si="509">AVERAGE(B58:B59)</f>
        <v>-9.0439499999999988</v>
      </c>
      <c r="D58" s="52">
        <v>-14.548</v>
      </c>
      <c r="E58" s="89">
        <f t="shared" ref="E58" si="510">AVERAGE(D58:D59)</f>
        <v>-14.92</v>
      </c>
      <c r="F58" s="52">
        <v>7.7622</v>
      </c>
      <c r="G58" s="89">
        <f t="shared" ref="G58" si="511">AVERAGE(F58:F59)</f>
        <v>7.4567499999999995</v>
      </c>
      <c r="H58" s="52">
        <v>5.6805000000000003</v>
      </c>
      <c r="I58" s="89">
        <f t="shared" ref="I58" si="512">AVERAGE(H58:H59)</f>
        <v>6.4286000000000003</v>
      </c>
      <c r="J58" s="52">
        <v>-8.72E-2</v>
      </c>
      <c r="K58" s="89">
        <f t="shared" ref="K58:N58" si="513">AVERAGE(J58:J59)</f>
        <v>-8.72E-2</v>
      </c>
      <c r="L58" s="89">
        <f>K58-'Hoja en sucio'!$W$117</f>
        <v>1.9428571428571628E-3</v>
      </c>
      <c r="M58" s="52">
        <v>-0.11360000000000001</v>
      </c>
      <c r="N58" s="89">
        <f t="shared" si="513"/>
        <v>-0.11360000000000001</v>
      </c>
      <c r="O58" s="89">
        <f>N58-'Hoja en sucio'!$W$117</f>
        <v>-2.4457142857142844E-2</v>
      </c>
      <c r="P58" s="52">
        <v>-3.6679999999999997E-2</v>
      </c>
      <c r="Q58" s="89">
        <f t="shared" ref="Q58:S58" si="514">AVERAGE(P58:P59)</f>
        <v>-3.7085E-2</v>
      </c>
      <c r="R58" s="52">
        <v>-1.6080000000000001E-2</v>
      </c>
      <c r="S58" s="89">
        <f t="shared" si="514"/>
        <v>-1.7495E-2</v>
      </c>
      <c r="T58" s="52">
        <v>16.335000000000001</v>
      </c>
      <c r="U58" s="89">
        <f t="shared" ref="U58" si="515">AVERAGE(T58:T59)</f>
        <v>11.1266</v>
      </c>
      <c r="V58" s="52">
        <v>25.416</v>
      </c>
      <c r="W58" s="89">
        <f t="shared" ref="W58" si="516">AVERAGE(V58:V59)</f>
        <v>26.62</v>
      </c>
      <c r="X58" s="52">
        <v>-16.077999999999999</v>
      </c>
      <c r="Y58" s="89">
        <f t="shared" ref="Y58" si="517">AVERAGE(X58:X59)</f>
        <v>-15.550999999999998</v>
      </c>
      <c r="Z58" s="89">
        <f>Y58-'Hoja en sucio'!$G$114</f>
        <v>-4.4857499999999995</v>
      </c>
      <c r="AA58" s="52">
        <v>-20.114999999999998</v>
      </c>
      <c r="AB58" s="89">
        <f t="shared" ref="AB58" si="518">AVERAGE(AA58:AA59)</f>
        <v>-20.500499999999999</v>
      </c>
      <c r="AC58" s="89">
        <f>AB58-'Hoja en sucio'!$H$114</f>
        <v>-9.4352499999999999</v>
      </c>
      <c r="AD58" s="52">
        <v>1.389E-2</v>
      </c>
      <c r="AE58" s="89">
        <f t="shared" ref="AE58" si="519">AVERAGE(AD58:AD59)</f>
        <v>2.6210000000000001E-2</v>
      </c>
      <c r="AF58" s="52">
        <v>6.0099999999999997E-3</v>
      </c>
      <c r="AG58" s="89">
        <f t="shared" ref="AG58:AI58" si="520">AVERAGE(AF58:AF59)</f>
        <v>6.0049999999999999E-3</v>
      </c>
      <c r="AH58" s="52">
        <v>468.24999999999989</v>
      </c>
      <c r="AI58" s="89">
        <f t="shared" si="520"/>
        <v>465.74999999999989</v>
      </c>
      <c r="AJ58" s="52">
        <v>588.39999999999986</v>
      </c>
      <c r="AK58" s="89">
        <f t="shared" ref="AK58" si="521">AVERAGE(AJ58:AJ59)</f>
        <v>571.39999999999986</v>
      </c>
      <c r="AL58" s="52">
        <v>0.23100000000000001</v>
      </c>
      <c r="AM58" s="89">
        <f t="shared" ref="AM58" si="522">AVERAGE(AL58:AL59)</f>
        <v>0.22500000000000001</v>
      </c>
      <c r="AN58" s="89">
        <f t="shared" ref="AN58" si="523">30*AM58</f>
        <v>6.75</v>
      </c>
      <c r="AO58" s="52">
        <v>0.36199999999999999</v>
      </c>
      <c r="AP58" s="89">
        <f t="shared" ref="AP58" si="524">AVERAGE(AO58:AO59)</f>
        <v>0.36249999999999999</v>
      </c>
      <c r="AQ58" s="89">
        <f t="shared" ref="AQ58" si="525">30*AP58</f>
        <v>10.875</v>
      </c>
      <c r="AR58" s="52">
        <v>35.244283995186521</v>
      </c>
      <c r="AS58" s="89">
        <f t="shared" ref="AS58" si="526">AVERAGE(AR58:AR59)</f>
        <v>34.762936221419977</v>
      </c>
      <c r="AT58" s="52">
        <v>65.448856799037316</v>
      </c>
      <c r="AU58" s="89">
        <f t="shared" ref="AU58" si="527">AVERAGE(AT58:AT59)</f>
        <v>60.906137184115529</v>
      </c>
    </row>
    <row r="59" spans="1:47" x14ac:dyDescent="0.35">
      <c r="A59" s="88"/>
      <c r="B59" s="52">
        <v>-10.347</v>
      </c>
      <c r="C59" s="89"/>
      <c r="D59" s="52">
        <v>-15.292</v>
      </c>
      <c r="E59" s="89"/>
      <c r="F59" s="52">
        <v>7.1513</v>
      </c>
      <c r="G59" s="89"/>
      <c r="H59" s="52">
        <v>7.1767000000000003</v>
      </c>
      <c r="I59" s="89"/>
      <c r="J59" s="52" t="s">
        <v>3</v>
      </c>
      <c r="K59" s="89"/>
      <c r="L59" s="89"/>
      <c r="M59" s="52" t="s">
        <v>3</v>
      </c>
      <c r="N59" s="89"/>
      <c r="O59" s="89"/>
      <c r="P59" s="52">
        <v>-3.7490000000000002E-2</v>
      </c>
      <c r="Q59" s="89"/>
      <c r="R59" s="52">
        <v>-1.891E-2</v>
      </c>
      <c r="S59" s="89"/>
      <c r="T59" s="52">
        <v>5.9181999999999997</v>
      </c>
      <c r="U59" s="89"/>
      <c r="V59" s="52">
        <v>27.824000000000002</v>
      </c>
      <c r="W59" s="89"/>
      <c r="X59" s="52">
        <v>-15.023999999999999</v>
      </c>
      <c r="Y59" s="89"/>
      <c r="Z59" s="89"/>
      <c r="AA59" s="52">
        <v>-20.885999999999999</v>
      </c>
      <c r="AB59" s="89"/>
      <c r="AC59" s="89"/>
      <c r="AD59" s="52">
        <v>3.8530000000000002E-2</v>
      </c>
      <c r="AE59" s="89"/>
      <c r="AF59" s="52">
        <v>6.0000000000000001E-3</v>
      </c>
      <c r="AG59" s="89"/>
      <c r="AH59" s="52">
        <v>463.24999999999989</v>
      </c>
      <c r="AI59" s="89"/>
      <c r="AJ59" s="52">
        <v>554.39999999999986</v>
      </c>
      <c r="AK59" s="89"/>
      <c r="AL59" s="52">
        <v>0.219</v>
      </c>
      <c r="AM59" s="89"/>
      <c r="AN59" s="89"/>
      <c r="AO59" s="52">
        <v>0.36299999999999999</v>
      </c>
      <c r="AP59" s="89"/>
      <c r="AQ59" s="89"/>
      <c r="AR59" s="52">
        <v>34.281588447653426</v>
      </c>
      <c r="AS59" s="89"/>
      <c r="AT59" s="52">
        <v>56.363417569193743</v>
      </c>
      <c r="AU59" s="89"/>
    </row>
    <row r="60" spans="1:47" x14ac:dyDescent="0.35">
      <c r="A60" s="88">
        <v>30</v>
      </c>
      <c r="B60" s="52">
        <v>-5.3013000000000003</v>
      </c>
      <c r="C60" s="89">
        <f t="shared" ref="C60" si="528">AVERAGE(B60:B61)</f>
        <v>-6.2913499999999996</v>
      </c>
      <c r="D60" s="52">
        <v>-14.939</v>
      </c>
      <c r="E60" s="89">
        <f t="shared" ref="E60" si="529">AVERAGE(D60:D61)</f>
        <v>-15.102499999999999</v>
      </c>
      <c r="F60" s="52">
        <v>9.0371000000000006</v>
      </c>
      <c r="G60" s="89">
        <f t="shared" ref="G60" si="530">AVERAGE(F60:F61)</f>
        <v>8.8612000000000002</v>
      </c>
      <c r="H60" s="52">
        <v>7.3426999999999998</v>
      </c>
      <c r="I60" s="89">
        <f t="shared" ref="I60" si="531">AVERAGE(H60:H61)</f>
        <v>6.9795999999999996</v>
      </c>
      <c r="J60" s="52">
        <v>-9.955E-2</v>
      </c>
      <c r="K60" s="89">
        <f t="shared" ref="K60:N60" si="532">AVERAGE(J60:J61)</f>
        <v>-9.955E-2</v>
      </c>
      <c r="L60" s="89">
        <f>K60-'Hoja en sucio'!$W$117</f>
        <v>-1.0407142857142837E-2</v>
      </c>
      <c r="M60" s="52">
        <v>-0.18440000000000001</v>
      </c>
      <c r="N60" s="89">
        <f t="shared" si="532"/>
        <v>-0.18440000000000001</v>
      </c>
      <c r="O60" s="89">
        <f>N60-'Hoja en sucio'!$W$117</f>
        <v>-9.5257142857142846E-2</v>
      </c>
      <c r="P60" s="52">
        <v>-2.29E-2</v>
      </c>
      <c r="Q60" s="89">
        <f t="shared" ref="Q60:S60" si="533">AVERAGE(P60:P61)</f>
        <v>-2.2960000000000001E-2</v>
      </c>
      <c r="R60" s="52">
        <v>-2.3310000000000001E-2</v>
      </c>
      <c r="S60" s="89">
        <f t="shared" si="533"/>
        <v>-1.7545000000000002E-2</v>
      </c>
      <c r="T60" s="52">
        <v>7.9187000000000003</v>
      </c>
      <c r="U60" s="89">
        <f t="shared" ref="U60" si="534">AVERAGE(T60:T61)</f>
        <v>11.071350000000001</v>
      </c>
      <c r="V60" s="52">
        <v>21.137</v>
      </c>
      <c r="W60" s="89">
        <f t="shared" ref="W60" si="535">AVERAGE(V60:V61)</f>
        <v>20.292000000000002</v>
      </c>
      <c r="X60" s="52">
        <v>-14.048999999999999</v>
      </c>
      <c r="Y60" s="89">
        <f t="shared" ref="Y60" si="536">AVERAGE(X60:X61)</f>
        <v>-15.353</v>
      </c>
      <c r="Z60" s="89">
        <f>Y60-'Hoja en sucio'!$G$114</f>
        <v>-4.2877500000000008</v>
      </c>
      <c r="AA60" s="52">
        <v>-20.550999999999998</v>
      </c>
      <c r="AB60" s="89">
        <f t="shared" ref="AB60" si="537">AVERAGE(AA60:AA61)</f>
        <v>-20.683</v>
      </c>
      <c r="AC60" s="89">
        <f>AB60-'Hoja en sucio'!$H$114</f>
        <v>-9.6177500000000009</v>
      </c>
      <c r="AD60" s="52">
        <v>9.6989999999999993E-3</v>
      </c>
      <c r="AE60" s="89">
        <f t="shared" ref="AE60" si="538">AVERAGE(AD60:AD61)</f>
        <v>1.20695E-2</v>
      </c>
      <c r="AF60" s="52">
        <v>5.947E-3</v>
      </c>
      <c r="AG60" s="89">
        <f t="shared" ref="AG60:AI60" si="539">AVERAGE(AF60:AF61)</f>
        <v>7.8910000000000004E-3</v>
      </c>
      <c r="AH60" s="52">
        <v>265.74999999999989</v>
      </c>
      <c r="AI60" s="89">
        <f t="shared" si="539"/>
        <v>233.24999999999991</v>
      </c>
      <c r="AJ60" s="52">
        <v>602.39999999999986</v>
      </c>
      <c r="AK60" s="89">
        <f t="shared" ref="AK60" si="540">AVERAGE(AJ60:AJ61)</f>
        <v>629.39999999999986</v>
      </c>
      <c r="AL60" s="52">
        <v>0.16300000000000001</v>
      </c>
      <c r="AM60" s="89">
        <f t="shared" ref="AM60" si="541">AVERAGE(AL60:AL61)</f>
        <v>0.16799999999999998</v>
      </c>
      <c r="AN60" s="89">
        <f t="shared" ref="AN60" si="542">30*AM60</f>
        <v>5.0399999999999991</v>
      </c>
      <c r="AO60" s="52">
        <v>0.26900000000000002</v>
      </c>
      <c r="AP60" s="89">
        <f t="shared" ref="AP60" si="543">AVERAGE(AO60:AO61)</f>
        <v>0.28849999999999998</v>
      </c>
      <c r="AQ60" s="89">
        <f t="shared" ref="AQ60" si="544">30*AP60</f>
        <v>8.6549999999999994</v>
      </c>
      <c r="AR60" s="52">
        <v>26.038507821901323</v>
      </c>
      <c r="AS60" s="89">
        <f t="shared" ref="AS60" si="545">AVERAGE(AR60:AR61)</f>
        <v>26.459687123947052</v>
      </c>
      <c r="AT60" s="52">
        <v>46.31528279181709</v>
      </c>
      <c r="AU60" s="89">
        <f t="shared" ref="AU60" si="546">AVERAGE(AT60:AT61)</f>
        <v>46.435619735258726</v>
      </c>
    </row>
    <row r="61" spans="1:47" x14ac:dyDescent="0.35">
      <c r="A61" s="88"/>
      <c r="B61" s="52">
        <v>-7.2813999999999997</v>
      </c>
      <c r="C61" s="89"/>
      <c r="D61" s="52">
        <v>-15.266</v>
      </c>
      <c r="E61" s="89"/>
      <c r="F61" s="52">
        <v>8.6852999999999998</v>
      </c>
      <c r="G61" s="89"/>
      <c r="H61" s="52">
        <v>6.6165000000000003</v>
      </c>
      <c r="I61" s="89"/>
      <c r="J61" s="52" t="s">
        <v>3</v>
      </c>
      <c r="K61" s="89"/>
      <c r="L61" s="89"/>
      <c r="M61" s="52" t="s">
        <v>3</v>
      </c>
      <c r="N61" s="89"/>
      <c r="O61" s="89"/>
      <c r="P61" s="52">
        <v>-2.3019999999999999E-2</v>
      </c>
      <c r="Q61" s="89"/>
      <c r="R61" s="52">
        <v>-1.1780000000000001E-2</v>
      </c>
      <c r="S61" s="89"/>
      <c r="T61" s="52">
        <v>14.224</v>
      </c>
      <c r="U61" s="89"/>
      <c r="V61" s="52">
        <v>19.446999999999999</v>
      </c>
      <c r="W61" s="89"/>
      <c r="X61" s="52">
        <v>-16.657</v>
      </c>
      <c r="Y61" s="89"/>
      <c r="Z61" s="89"/>
      <c r="AA61" s="52">
        <v>-20.815000000000001</v>
      </c>
      <c r="AB61" s="89"/>
      <c r="AC61" s="89"/>
      <c r="AD61" s="52">
        <v>1.444E-2</v>
      </c>
      <c r="AE61" s="89"/>
      <c r="AF61" s="52">
        <v>9.8350000000000017E-3</v>
      </c>
      <c r="AG61" s="89"/>
      <c r="AH61" s="52">
        <v>200.74999999999994</v>
      </c>
      <c r="AI61" s="89"/>
      <c r="AJ61" s="52">
        <v>656.39999999999986</v>
      </c>
      <c r="AK61" s="89"/>
      <c r="AL61" s="52">
        <v>0.17299999999999999</v>
      </c>
      <c r="AM61" s="89"/>
      <c r="AN61" s="89"/>
      <c r="AO61" s="52">
        <v>0.308</v>
      </c>
      <c r="AP61" s="89"/>
      <c r="AQ61" s="89"/>
      <c r="AR61" s="52">
        <v>26.880866425992782</v>
      </c>
      <c r="AS61" s="89"/>
      <c r="AT61" s="52">
        <v>46.555956678700362</v>
      </c>
      <c r="AU61" s="89"/>
    </row>
    <row r="62" spans="1:47" x14ac:dyDescent="0.35">
      <c r="A62" s="88">
        <v>31</v>
      </c>
      <c r="B62" s="52">
        <v>-4.1153000000000004</v>
      </c>
      <c r="C62" s="89">
        <f t="shared" ref="C62" si="547">AVERAGE(B62:B63)</f>
        <v>-3.9877000000000002</v>
      </c>
      <c r="D62" s="52">
        <v>-19.738</v>
      </c>
      <c r="E62" s="89">
        <f t="shared" ref="E62" si="548">AVERAGE(D62:D63)</f>
        <v>-18.637999999999998</v>
      </c>
      <c r="F62" s="52">
        <v>10.877000000000001</v>
      </c>
      <c r="G62" s="89">
        <f t="shared" ref="G62" si="549">AVERAGE(F62:F63)</f>
        <v>10.949000000000002</v>
      </c>
      <c r="H62" s="52">
        <v>7.7461000000000002</v>
      </c>
      <c r="I62" s="89">
        <f t="shared" ref="I62" si="550">AVERAGE(H62:H63)</f>
        <v>7.1951000000000001</v>
      </c>
      <c r="J62" s="52">
        <v>-0.111</v>
      </c>
      <c r="K62" s="89">
        <f t="shared" ref="K62:N62" si="551">AVERAGE(J62:J63)</f>
        <v>-0.111</v>
      </c>
      <c r="L62" s="89">
        <f>K62-'Hoja en sucio'!$W$117</f>
        <v>-2.1857142857142839E-2</v>
      </c>
      <c r="M62" s="52">
        <v>-0.1522</v>
      </c>
      <c r="N62" s="89">
        <f t="shared" si="551"/>
        <v>-0.1522</v>
      </c>
      <c r="O62" s="89">
        <f>N62-'Hoja en sucio'!$W$117</f>
        <v>-6.3057142857142839E-2</v>
      </c>
      <c r="P62" s="52">
        <v>-1.133E-2</v>
      </c>
      <c r="Q62" s="89">
        <f t="shared" ref="Q62:S62" si="552">AVERAGE(P62:P63)</f>
        <v>-1.1900000000000001E-2</v>
      </c>
      <c r="R62" s="52">
        <v>-7.1600000000000006E-3</v>
      </c>
      <c r="S62" s="89">
        <f t="shared" si="552"/>
        <v>-5.7079999999999999E-2</v>
      </c>
      <c r="T62" s="52">
        <v>6.3296999999999999</v>
      </c>
      <c r="U62" s="89">
        <f t="shared" ref="U62" si="553">AVERAGE(T62:T63)</f>
        <v>8.8488500000000005</v>
      </c>
      <c r="V62" s="52">
        <v>21.966000000000001</v>
      </c>
      <c r="W62" s="89">
        <f t="shared" ref="W62" si="554">AVERAGE(V62:V63)</f>
        <v>21.094999999999999</v>
      </c>
      <c r="X62" s="52">
        <v>-12.811</v>
      </c>
      <c r="Y62" s="89">
        <f t="shared" ref="Y62" si="555">AVERAGE(X62:X63)</f>
        <v>-12.958500000000001</v>
      </c>
      <c r="Z62" s="89">
        <f>Y62-'Hoja en sucio'!$G$114</f>
        <v>-1.8932500000000019</v>
      </c>
      <c r="AA62" s="52">
        <v>-23.614999999999998</v>
      </c>
      <c r="AB62" s="89">
        <f t="shared" ref="AB62" si="556">AVERAGE(AA62:AA63)</f>
        <v>-23.8215</v>
      </c>
      <c r="AC62" s="89">
        <f>AB62-'Hoja en sucio'!$H$114</f>
        <v>-12.756250000000001</v>
      </c>
      <c r="AD62" s="52">
        <v>1.5789999999999999E-3</v>
      </c>
      <c r="AE62" s="89">
        <f t="shared" ref="AE62" si="557">AVERAGE(AD62:AD63)</f>
        <v>3.8909999999999999E-3</v>
      </c>
      <c r="AF62" s="52">
        <v>2.4399999999999999E-3</v>
      </c>
      <c r="AG62" s="89">
        <f t="shared" ref="AG62:AI62" si="558">AVERAGE(AF62:AF63)</f>
        <v>4.5069999999999997E-3</v>
      </c>
      <c r="AH62" s="52">
        <v>175.74999999999991</v>
      </c>
      <c r="AI62" s="89">
        <f t="shared" si="558"/>
        <v>153.24999999999989</v>
      </c>
      <c r="AJ62" s="52">
        <v>448.39999999999992</v>
      </c>
      <c r="AK62" s="89">
        <f t="shared" ref="AK62" si="559">AVERAGE(AJ62:AJ63)</f>
        <v>454.39999999999992</v>
      </c>
      <c r="AL62" s="52">
        <v>7.0000000000000007E-2</v>
      </c>
      <c r="AM62" s="89">
        <f t="shared" ref="AM62" si="560">AVERAGE(AL62:AL63)</f>
        <v>7.6500000000000012E-2</v>
      </c>
      <c r="AN62" s="89">
        <f t="shared" ref="AN62" si="561">30*AM62</f>
        <v>2.2950000000000004</v>
      </c>
      <c r="AO62" s="52">
        <v>0.246</v>
      </c>
      <c r="AP62" s="89">
        <f t="shared" ref="AP62" si="562">AVERAGE(AO62:AO63)</f>
        <v>0.2515</v>
      </c>
      <c r="AQ62" s="89">
        <f t="shared" ref="AQ62" si="563">30*AP62</f>
        <v>7.5449999999999999</v>
      </c>
      <c r="AR62" s="52">
        <v>15.689530685920579</v>
      </c>
      <c r="AS62" s="89">
        <f t="shared" ref="AS62" si="564">AVERAGE(AR62:AR63)</f>
        <v>14.516245487364621</v>
      </c>
      <c r="AT62" s="52">
        <v>65.870036101083031</v>
      </c>
      <c r="AU62" s="89">
        <f t="shared" ref="AU62" si="565">AVERAGE(AT62:AT63)</f>
        <v>64.967509025270772</v>
      </c>
    </row>
    <row r="63" spans="1:47" x14ac:dyDescent="0.35">
      <c r="A63" s="88"/>
      <c r="B63" s="52">
        <v>-3.8601000000000001</v>
      </c>
      <c r="C63" s="89"/>
      <c r="D63" s="52">
        <v>-17.538</v>
      </c>
      <c r="E63" s="89"/>
      <c r="F63" s="52">
        <v>11.021000000000001</v>
      </c>
      <c r="G63" s="89"/>
      <c r="H63" s="52">
        <v>6.6440999999999999</v>
      </c>
      <c r="I63" s="89"/>
      <c r="J63" s="52" t="s">
        <v>3</v>
      </c>
      <c r="K63" s="89"/>
      <c r="L63" s="89"/>
      <c r="M63" s="52" t="s">
        <v>3</v>
      </c>
      <c r="N63" s="89"/>
      <c r="O63" s="89"/>
      <c r="P63" s="52">
        <v>-1.247E-2</v>
      </c>
      <c r="Q63" s="89"/>
      <c r="R63" s="52">
        <v>-0.107</v>
      </c>
      <c r="S63" s="89"/>
      <c r="T63" s="52">
        <v>11.368</v>
      </c>
      <c r="U63" s="89"/>
      <c r="V63" s="52">
        <v>20.224</v>
      </c>
      <c r="W63" s="89"/>
      <c r="X63" s="52">
        <v>-13.106</v>
      </c>
      <c r="Y63" s="89"/>
      <c r="Z63" s="89"/>
      <c r="AA63" s="52">
        <v>-24.027999999999999</v>
      </c>
      <c r="AB63" s="89"/>
      <c r="AC63" s="89"/>
      <c r="AD63" s="52">
        <v>6.2030000000000002E-3</v>
      </c>
      <c r="AE63" s="89"/>
      <c r="AF63" s="52">
        <v>6.574E-3</v>
      </c>
      <c r="AG63" s="89"/>
      <c r="AH63" s="52">
        <v>130.74999999999989</v>
      </c>
      <c r="AI63" s="89"/>
      <c r="AJ63" s="52">
        <v>460.39999999999992</v>
      </c>
      <c r="AK63" s="89"/>
      <c r="AL63" s="52">
        <v>8.3000000000000004E-2</v>
      </c>
      <c r="AM63" s="89"/>
      <c r="AN63" s="89"/>
      <c r="AO63" s="52">
        <v>0.25700000000000001</v>
      </c>
      <c r="AP63" s="89"/>
      <c r="AQ63" s="89"/>
      <c r="AR63" s="52">
        <v>13.342960288808666</v>
      </c>
      <c r="AS63" s="89"/>
      <c r="AT63" s="52">
        <v>64.064981949458499</v>
      </c>
      <c r="AU63" s="89"/>
    </row>
    <row r="64" spans="1:47" x14ac:dyDescent="0.35">
      <c r="A64" s="88">
        <v>32</v>
      </c>
      <c r="B64" s="52">
        <v>-4.5495000000000001</v>
      </c>
      <c r="C64" s="89">
        <f t="shared" ref="C64" si="566">AVERAGE(B64:B65)</f>
        <v>-4.9444499999999998</v>
      </c>
      <c r="D64" s="52">
        <v>-15.791</v>
      </c>
      <c r="E64" s="89">
        <f t="shared" ref="E64" si="567">AVERAGE(D64:D65)</f>
        <v>-17.683500000000002</v>
      </c>
      <c r="F64" s="52">
        <v>8.0896000000000008</v>
      </c>
      <c r="G64" s="89">
        <f t="shared" ref="G64" si="568">AVERAGE(F64:F65)</f>
        <v>8.4700000000000006</v>
      </c>
      <c r="H64" s="52">
        <v>5.0769000000000002</v>
      </c>
      <c r="I64" s="89">
        <f t="shared" ref="I64" si="569">AVERAGE(H64:H65)</f>
        <v>4.7953999999999999</v>
      </c>
      <c r="J64" s="52">
        <v>-0.1046</v>
      </c>
      <c r="K64" s="89">
        <f t="shared" ref="K64:N64" si="570">AVERAGE(J64:J65)</f>
        <v>-0.1046</v>
      </c>
      <c r="L64" s="89">
        <f>K64-'Hoja en sucio'!$W$117</f>
        <v>-1.5457142857142836E-2</v>
      </c>
      <c r="M64" s="52">
        <v>-0.15970000000000001</v>
      </c>
      <c r="N64" s="89">
        <f t="shared" si="570"/>
        <v>-0.15970000000000001</v>
      </c>
      <c r="O64" s="89">
        <f>N64-'Hoja en sucio'!$W$117</f>
        <v>-7.0557142857142846E-2</v>
      </c>
      <c r="P64" s="52">
        <v>-2.196E-2</v>
      </c>
      <c r="Q64" s="89">
        <f t="shared" ref="Q64:S64" si="571">AVERAGE(P64:P65)</f>
        <v>-2.3219999999999998E-2</v>
      </c>
      <c r="R64" s="52" t="s">
        <v>3</v>
      </c>
      <c r="S64" s="89">
        <f t="shared" si="571"/>
        <v>-7.9600000000000001E-3</v>
      </c>
      <c r="T64" s="52">
        <v>12.451000000000001</v>
      </c>
      <c r="U64" s="89">
        <f t="shared" ref="U64" si="572">AVERAGE(T64:T65)</f>
        <v>12.5685</v>
      </c>
      <c r="V64" s="52">
        <v>33.798999999999999</v>
      </c>
      <c r="W64" s="89">
        <f t="shared" ref="W64" si="573">AVERAGE(V64:V65)</f>
        <v>32.472999999999999</v>
      </c>
      <c r="X64" s="52">
        <v>-13.055</v>
      </c>
      <c r="Y64" s="89">
        <f t="shared" ref="Y64" si="574">AVERAGE(X64:X65)</f>
        <v>-13.719999999999999</v>
      </c>
      <c r="Z64" s="89">
        <f>Y64-'Hoja en sucio'!$G$114</f>
        <v>-2.6547499999999999</v>
      </c>
      <c r="AA64" s="52">
        <v>-22.832999999999998</v>
      </c>
      <c r="AB64" s="89">
        <f t="shared" ref="AB64" si="575">AVERAGE(AA64:AA65)</f>
        <v>-22.858499999999999</v>
      </c>
      <c r="AC64" s="89">
        <f>AB64-'Hoja en sucio'!$H$114</f>
        <v>-11.79325</v>
      </c>
      <c r="AD64" s="52">
        <v>2.4369999999999999E-2</v>
      </c>
      <c r="AE64" s="89">
        <f t="shared" ref="AE64" si="576">AVERAGE(AD64:AD65)</f>
        <v>2.1054999999999997E-2</v>
      </c>
      <c r="AF64" s="52">
        <v>2.117E-3</v>
      </c>
      <c r="AG64" s="89">
        <f t="shared" ref="AG64:AI64" si="577">AVERAGE(AF64:AF65)</f>
        <v>3.9935000000000005E-3</v>
      </c>
      <c r="AH64" s="52">
        <v>250.75</v>
      </c>
      <c r="AI64" s="89">
        <f t="shared" si="577"/>
        <v>190.74999999999994</v>
      </c>
      <c r="AJ64" s="52">
        <v>428.39999999999986</v>
      </c>
      <c r="AK64" s="89">
        <f t="shared" ref="AK64" si="578">AVERAGE(AJ64:AJ65)</f>
        <v>469.39999999999992</v>
      </c>
      <c r="AL64" s="52">
        <v>0.10100000000000001</v>
      </c>
      <c r="AM64" s="89">
        <f t="shared" ref="AM64" si="579">AVERAGE(AL64:AL65)</f>
        <v>0.158</v>
      </c>
      <c r="AN64" s="89">
        <f t="shared" ref="AN64" si="580">30*AM64</f>
        <v>4.74</v>
      </c>
      <c r="AO64" s="52">
        <v>0.30299999999999999</v>
      </c>
      <c r="AP64" s="89">
        <f t="shared" ref="AP64" si="581">AVERAGE(AO64:AO65)</f>
        <v>0.31850000000000001</v>
      </c>
      <c r="AQ64" s="89">
        <f t="shared" ref="AQ64" si="582">30*AP64</f>
        <v>9.5549999999999997</v>
      </c>
      <c r="AR64" s="52">
        <v>42.22382671480144</v>
      </c>
      <c r="AS64" s="89">
        <f t="shared" ref="AS64" si="583">AVERAGE(AR64:AR65)</f>
        <v>40.117930204572801</v>
      </c>
      <c r="AT64" s="52">
        <v>38.914560770156442</v>
      </c>
      <c r="AU64" s="89">
        <f t="shared" ref="AU64" si="584">AVERAGE(AT64:AT65)</f>
        <v>39.335740072202171</v>
      </c>
    </row>
    <row r="65" spans="1:47" x14ac:dyDescent="0.35">
      <c r="A65" s="88"/>
      <c r="B65" s="52">
        <v>-5.3394000000000004</v>
      </c>
      <c r="C65" s="89"/>
      <c r="D65" s="52">
        <v>-19.576000000000001</v>
      </c>
      <c r="E65" s="89"/>
      <c r="F65" s="52">
        <v>8.8504000000000005</v>
      </c>
      <c r="G65" s="89"/>
      <c r="H65" s="52">
        <v>4.5138999999999996</v>
      </c>
      <c r="I65" s="89"/>
      <c r="J65" s="52" t="s">
        <v>3</v>
      </c>
      <c r="K65" s="89"/>
      <c r="L65" s="89"/>
      <c r="M65" s="52" t="s">
        <v>3</v>
      </c>
      <c r="N65" s="89"/>
      <c r="O65" s="89"/>
      <c r="P65" s="52">
        <v>-2.4479999999999998E-2</v>
      </c>
      <c r="Q65" s="89"/>
      <c r="R65" s="52">
        <v>-7.9600000000000001E-3</v>
      </c>
      <c r="S65" s="89"/>
      <c r="T65" s="52">
        <v>12.686</v>
      </c>
      <c r="U65" s="89"/>
      <c r="V65" s="52">
        <v>31.146999999999998</v>
      </c>
      <c r="W65" s="89"/>
      <c r="X65" s="52">
        <v>-14.385</v>
      </c>
      <c r="Y65" s="89"/>
      <c r="Z65" s="89"/>
      <c r="AA65" s="52">
        <v>-22.884</v>
      </c>
      <c r="AB65" s="89"/>
      <c r="AC65" s="89"/>
      <c r="AD65" s="52">
        <v>1.7739999999999999E-2</v>
      </c>
      <c r="AE65" s="89"/>
      <c r="AF65" s="52">
        <v>5.8700000000000002E-3</v>
      </c>
      <c r="AG65" s="89"/>
      <c r="AH65" s="52">
        <v>130.74999999999989</v>
      </c>
      <c r="AI65" s="89"/>
      <c r="AJ65" s="52">
        <v>510.4</v>
      </c>
      <c r="AK65" s="89"/>
      <c r="AL65" s="52">
        <v>0.215</v>
      </c>
      <c r="AM65" s="89"/>
      <c r="AN65" s="89"/>
      <c r="AO65" s="52">
        <v>0.33400000000000002</v>
      </c>
      <c r="AP65" s="89"/>
      <c r="AQ65" s="89"/>
      <c r="AR65" s="52">
        <v>38.012033694344161</v>
      </c>
      <c r="AS65" s="89"/>
      <c r="AT65" s="52">
        <v>39.756919374247893</v>
      </c>
      <c r="AU65" s="89"/>
    </row>
    <row r="66" spans="1:47" x14ac:dyDescent="0.35">
      <c r="A66" s="88">
        <v>33</v>
      </c>
      <c r="B66" s="52">
        <v>-8.0786999999999995</v>
      </c>
      <c r="C66" s="89">
        <f t="shared" ref="C66" si="585">AVERAGE(B66:B67)</f>
        <v>-9.6183499999999995</v>
      </c>
      <c r="D66" s="52">
        <v>-15.385</v>
      </c>
      <c r="E66" s="89">
        <f t="shared" ref="E66" si="586">AVERAGE(D66:D67)</f>
        <v>-15.0625</v>
      </c>
      <c r="F66" s="52">
        <v>8.8249999999999993</v>
      </c>
      <c r="G66" s="89">
        <f t="shared" ref="G66" si="587">AVERAGE(F66:F67)</f>
        <v>9.0488499999999998</v>
      </c>
      <c r="H66" s="52">
        <v>5.8579999999999997</v>
      </c>
      <c r="I66" s="89">
        <f t="shared" ref="I66" si="588">AVERAGE(H66:H67)</f>
        <v>5.7184999999999997</v>
      </c>
      <c r="J66" s="52">
        <v>-8.5290000000000005E-2</v>
      </c>
      <c r="K66" s="89">
        <f t="shared" ref="K66:N66" si="589">AVERAGE(J66:J67)</f>
        <v>-8.5290000000000005E-2</v>
      </c>
      <c r="L66" s="89">
        <f>K66-'Hoja en sucio'!$W$117</f>
        <v>3.8528571428571579E-3</v>
      </c>
      <c r="M66" s="52">
        <v>-9.5670000000000005E-2</v>
      </c>
      <c r="N66" s="89">
        <f t="shared" si="589"/>
        <v>-9.5670000000000005E-2</v>
      </c>
      <c r="O66" s="89">
        <f>N66-'Hoja en sucio'!$W$117</f>
        <v>-6.5271428571428425E-3</v>
      </c>
      <c r="P66" s="52">
        <v>-2.9579999999999999E-2</v>
      </c>
      <c r="Q66" s="89">
        <f t="shared" ref="Q66:S66" si="590">AVERAGE(P66:P67)</f>
        <v>-2.8424999999999999E-2</v>
      </c>
      <c r="R66" s="52">
        <v>-7.7999999999999996E-3</v>
      </c>
      <c r="S66" s="89">
        <f t="shared" si="590"/>
        <v>-1.013E-2</v>
      </c>
      <c r="T66" s="52">
        <v>13.416</v>
      </c>
      <c r="U66" s="89">
        <f t="shared" ref="U66" si="591">AVERAGE(T66:T67)</f>
        <v>11.224499999999999</v>
      </c>
      <c r="V66" s="52">
        <v>24.904</v>
      </c>
      <c r="W66" s="89">
        <f t="shared" ref="W66" si="592">AVERAGE(V66:V67)</f>
        <v>23.7515</v>
      </c>
      <c r="X66" s="52">
        <v>-14.871</v>
      </c>
      <c r="Y66" s="89">
        <f t="shared" ref="Y66" si="593">AVERAGE(X66:X67)</f>
        <v>-14.358499999999999</v>
      </c>
      <c r="Z66" s="89">
        <f>Y66-'Hoja en sucio'!$G$114</f>
        <v>-3.2932500000000005</v>
      </c>
      <c r="AA66" s="52">
        <v>-29.597000000000001</v>
      </c>
      <c r="AB66" s="89">
        <f t="shared" ref="AB66" si="594">AVERAGE(AA66:AA67)</f>
        <v>-30.191500000000001</v>
      </c>
      <c r="AC66" s="89">
        <f>AB66-'Hoja en sucio'!$H$114</f>
        <v>-19.126250000000002</v>
      </c>
      <c r="AD66" s="52">
        <v>4.1050000000000001E-3</v>
      </c>
      <c r="AE66" s="89">
        <f t="shared" ref="AE66" si="595">AVERAGE(AD66:AD67)</f>
        <v>2.7630000000000003E-3</v>
      </c>
      <c r="AF66" s="52">
        <v>4.9580000000000006E-3</v>
      </c>
      <c r="AG66" s="89">
        <f t="shared" ref="AG66:AI66" si="596">AVERAGE(AF66:AF67)</f>
        <v>1.9059E-2</v>
      </c>
      <c r="AH66" s="52">
        <v>485.74999999999989</v>
      </c>
      <c r="AI66" s="89">
        <f t="shared" si="596"/>
        <v>456.99999999999989</v>
      </c>
      <c r="AJ66" s="52">
        <v>462.39999999999981</v>
      </c>
      <c r="AK66" s="89">
        <f t="shared" ref="AK66" si="597">AVERAGE(AJ66:AJ67)</f>
        <v>461.39999999999992</v>
      </c>
      <c r="AL66" s="52">
        <v>0.19700000000000001</v>
      </c>
      <c r="AM66" s="89">
        <f t="shared" ref="AM66" si="598">AVERAGE(AL66:AL67)</f>
        <v>0.18049999999999999</v>
      </c>
      <c r="AN66" s="89">
        <f t="shared" ref="AN66" si="599">30*AM66</f>
        <v>5.415</v>
      </c>
      <c r="AO66" s="52">
        <v>0.32300000000000001</v>
      </c>
      <c r="AP66" s="89">
        <f t="shared" ref="AP66" si="600">AVERAGE(AO66:AO67)</f>
        <v>0.33899999999999997</v>
      </c>
      <c r="AQ66" s="89">
        <f t="shared" ref="AQ66" si="601">30*AP66</f>
        <v>10.169999999999998</v>
      </c>
      <c r="AR66" s="52">
        <v>31.032490974729242</v>
      </c>
      <c r="AS66" s="89">
        <f t="shared" ref="AS66" si="602">AVERAGE(AR66:AR67)</f>
        <v>32.777376654632974</v>
      </c>
      <c r="AT66" s="52">
        <v>57.32611311672683</v>
      </c>
      <c r="AU66" s="89">
        <f t="shared" ref="AU66" si="603">AVERAGE(AT66:AT67)</f>
        <v>49.444043321299631</v>
      </c>
    </row>
    <row r="67" spans="1:47" x14ac:dyDescent="0.35">
      <c r="A67" s="88"/>
      <c r="B67" s="52">
        <v>-11.157999999999999</v>
      </c>
      <c r="C67" s="89"/>
      <c r="D67" s="52">
        <v>-14.74</v>
      </c>
      <c r="E67" s="89"/>
      <c r="F67" s="52">
        <v>9.2727000000000004</v>
      </c>
      <c r="G67" s="89"/>
      <c r="H67" s="52">
        <v>5.5789999999999997</v>
      </c>
      <c r="I67" s="89"/>
      <c r="J67" s="52" t="s">
        <v>3</v>
      </c>
      <c r="K67" s="89"/>
      <c r="L67" s="89"/>
      <c r="M67" s="52" t="s">
        <v>3</v>
      </c>
      <c r="N67" s="89"/>
      <c r="O67" s="89"/>
      <c r="P67" s="52">
        <v>-2.7269999999999999E-2</v>
      </c>
      <c r="Q67" s="89"/>
      <c r="R67" s="52">
        <v>-1.2460000000000001E-2</v>
      </c>
      <c r="S67" s="89"/>
      <c r="T67" s="52">
        <v>9.0329999999999995</v>
      </c>
      <c r="U67" s="89"/>
      <c r="V67" s="52">
        <v>22.599</v>
      </c>
      <c r="W67" s="89"/>
      <c r="X67" s="52">
        <v>-13.846</v>
      </c>
      <c r="Y67" s="89"/>
      <c r="Z67" s="89"/>
      <c r="AA67" s="52">
        <v>-30.786000000000001</v>
      </c>
      <c r="AB67" s="89"/>
      <c r="AC67" s="89"/>
      <c r="AD67" s="52">
        <v>1.4210000000000002E-3</v>
      </c>
      <c r="AE67" s="89"/>
      <c r="AF67" s="52">
        <v>3.3160000000000002E-2</v>
      </c>
      <c r="AG67" s="89"/>
      <c r="AH67" s="52">
        <v>428.24999999999989</v>
      </c>
      <c r="AI67" s="89"/>
      <c r="AJ67" s="52">
        <v>460.40000000000003</v>
      </c>
      <c r="AK67" s="89"/>
      <c r="AL67" s="52">
        <v>0.16400000000000001</v>
      </c>
      <c r="AM67" s="89"/>
      <c r="AN67" s="89"/>
      <c r="AO67" s="52">
        <v>0.35499999999999998</v>
      </c>
      <c r="AP67" s="89"/>
      <c r="AQ67" s="89"/>
      <c r="AR67" s="52">
        <v>34.522262334536698</v>
      </c>
      <c r="AS67" s="89"/>
      <c r="AT67" s="52">
        <v>41.561973525872439</v>
      </c>
      <c r="AU67" s="89"/>
    </row>
    <row r="68" spans="1:47" x14ac:dyDescent="0.35">
      <c r="A68" s="88">
        <v>34</v>
      </c>
      <c r="B68" s="52">
        <v>-12.138</v>
      </c>
      <c r="C68" s="89">
        <f t="shared" ref="C68" si="604">AVERAGE(B68:B69)</f>
        <v>-13.129999999999999</v>
      </c>
      <c r="D68" s="52">
        <v>-12.265000000000001</v>
      </c>
      <c r="E68" s="89">
        <f t="shared" ref="E68" si="605">AVERAGE(D68:D69)</f>
        <v>-12.699</v>
      </c>
      <c r="F68" s="52">
        <v>9.0618999999999996</v>
      </c>
      <c r="G68" s="89">
        <f t="shared" ref="G68" si="606">AVERAGE(F68:F69)</f>
        <v>9.4120500000000007</v>
      </c>
      <c r="H68" s="52">
        <v>6.6036000000000001</v>
      </c>
      <c r="I68" s="89">
        <f t="shared" ref="I68" si="607">AVERAGE(H68:H69)</f>
        <v>6.7963000000000005</v>
      </c>
      <c r="J68" s="52">
        <v>-6.5009999999999998E-2</v>
      </c>
      <c r="K68" s="89">
        <f t="shared" ref="K68:N68" si="608">AVERAGE(J68:J69)</f>
        <v>-6.5009999999999998E-2</v>
      </c>
      <c r="L68" s="89">
        <f>K68-'Hoja en sucio'!$W$117</f>
        <v>2.4132857142857164E-2</v>
      </c>
      <c r="M68" s="52">
        <v>-8.5330000000000003E-2</v>
      </c>
      <c r="N68" s="89">
        <f t="shared" si="608"/>
        <v>-8.5330000000000003E-2</v>
      </c>
      <c r="O68" s="89">
        <f>N68-'Hoja en sucio'!$W$117</f>
        <v>3.8128571428571595E-3</v>
      </c>
      <c r="P68" s="52">
        <v>-3.141E-2</v>
      </c>
      <c r="Q68" s="89">
        <f t="shared" ref="Q68:S68" si="609">AVERAGE(P68:P69)</f>
        <v>-2.7654999999999999E-2</v>
      </c>
      <c r="R68" s="52">
        <v>-8.6499999999999997E-3</v>
      </c>
      <c r="S68" s="89">
        <f t="shared" si="609"/>
        <v>-7.3200000000000001E-3</v>
      </c>
      <c r="T68" s="52">
        <v>10.794</v>
      </c>
      <c r="U68" s="89">
        <f t="shared" ref="U68" si="610">AVERAGE(T68:T69)</f>
        <v>9.4024999999999999</v>
      </c>
      <c r="V68" s="52">
        <v>22.181999999999999</v>
      </c>
      <c r="W68" s="89">
        <f t="shared" ref="W68" si="611">AVERAGE(V68:V69)</f>
        <v>21.875499999999999</v>
      </c>
      <c r="X68" s="52">
        <v>-12.923</v>
      </c>
      <c r="Y68" s="89">
        <f t="shared" ref="Y68" si="612">AVERAGE(X68:X69)</f>
        <v>-12.707000000000001</v>
      </c>
      <c r="Z68" s="89">
        <f>Y68-'Hoja en sucio'!$G$114</f>
        <v>-1.6417500000000018</v>
      </c>
      <c r="AA68" s="52">
        <v>-20.266999999999999</v>
      </c>
      <c r="AB68" s="89">
        <f t="shared" ref="AB68" si="613">AVERAGE(AA68:AA69)</f>
        <v>-20.670500000000001</v>
      </c>
      <c r="AC68" s="89">
        <f>AB68-'Hoja en sucio'!$H$114</f>
        <v>-9.6052500000000016</v>
      </c>
      <c r="AD68" s="52">
        <v>6.2060000000000006E-3</v>
      </c>
      <c r="AE68" s="89">
        <f t="shared" ref="AE68" si="614">AVERAGE(AD68:AD69)</f>
        <v>1.2397999999999999E-2</v>
      </c>
      <c r="AF68" s="52">
        <v>9.9620000000000004E-3</v>
      </c>
      <c r="AG68" s="89">
        <f t="shared" ref="AG68:AI68" si="615">AVERAGE(AF68:AF69)</f>
        <v>1.4141000000000001E-2</v>
      </c>
      <c r="AH68" s="52">
        <v>560.74999999999989</v>
      </c>
      <c r="AI68" s="89">
        <f t="shared" si="615"/>
        <v>575.74999999999989</v>
      </c>
      <c r="AJ68" s="52">
        <v>552.39999999999986</v>
      </c>
      <c r="AK68" s="89">
        <f t="shared" ref="AK68" si="616">AVERAGE(AJ68:AJ69)</f>
        <v>558.39999999999986</v>
      </c>
      <c r="AL68" s="52">
        <v>0.192</v>
      </c>
      <c r="AM68" s="89">
        <f t="shared" ref="AM68" si="617">AVERAGE(AL68:AL69)</f>
        <v>0.188</v>
      </c>
      <c r="AN68" s="89">
        <f t="shared" ref="AN68" si="618">30*AM68</f>
        <v>5.64</v>
      </c>
      <c r="AO68" s="52">
        <v>0.26500000000000001</v>
      </c>
      <c r="AP68" s="89">
        <f t="shared" ref="AP68" si="619">AVERAGE(AO68:AO69)</f>
        <v>0.28400000000000003</v>
      </c>
      <c r="AQ68" s="89">
        <f t="shared" ref="AQ68" si="620">30*AP68</f>
        <v>8.5200000000000014</v>
      </c>
      <c r="AR68" s="52">
        <v>25.617328519855597</v>
      </c>
      <c r="AS68" s="89">
        <f t="shared" ref="AS68" si="621">AVERAGE(AR68:AR69)</f>
        <v>26.219013237063777</v>
      </c>
      <c r="AT68" s="52">
        <v>48.361010830324908</v>
      </c>
      <c r="AU68" s="89">
        <f t="shared" ref="AU68" si="622">AVERAGE(AT68:AT69)</f>
        <v>46.616125150421183</v>
      </c>
    </row>
    <row r="69" spans="1:47" x14ac:dyDescent="0.35">
      <c r="A69" s="88"/>
      <c r="B69" s="52">
        <v>-14.122</v>
      </c>
      <c r="C69" s="89"/>
      <c r="D69" s="52">
        <v>-13.132999999999999</v>
      </c>
      <c r="E69" s="89"/>
      <c r="F69" s="52">
        <v>9.7622</v>
      </c>
      <c r="G69" s="89"/>
      <c r="H69" s="52">
        <v>6.9889999999999999</v>
      </c>
      <c r="I69" s="89"/>
      <c r="J69" s="52" t="s">
        <v>3</v>
      </c>
      <c r="K69" s="89"/>
      <c r="L69" s="89"/>
      <c r="M69" s="52" t="s">
        <v>3</v>
      </c>
      <c r="N69" s="89"/>
      <c r="O69" s="89"/>
      <c r="P69" s="52">
        <v>-2.3900000000000001E-2</v>
      </c>
      <c r="Q69" s="89"/>
      <c r="R69" s="52">
        <v>-5.9900000000000005E-3</v>
      </c>
      <c r="S69" s="89"/>
      <c r="T69" s="52">
        <v>8.0109999999999992</v>
      </c>
      <c r="U69" s="89"/>
      <c r="V69" s="52">
        <v>21.568999999999999</v>
      </c>
      <c r="W69" s="89"/>
      <c r="X69" s="52">
        <v>-12.491</v>
      </c>
      <c r="Y69" s="89"/>
      <c r="Z69" s="89"/>
      <c r="AA69" s="52">
        <v>-21.074000000000002</v>
      </c>
      <c r="AB69" s="89"/>
      <c r="AC69" s="89"/>
      <c r="AD69" s="52">
        <v>1.8589999999999999E-2</v>
      </c>
      <c r="AE69" s="89"/>
      <c r="AF69" s="52">
        <v>1.8319999999999999E-2</v>
      </c>
      <c r="AG69" s="89"/>
      <c r="AH69" s="52">
        <v>590.74999999999989</v>
      </c>
      <c r="AI69" s="89"/>
      <c r="AJ69" s="52">
        <v>564.39999999999986</v>
      </c>
      <c r="AK69" s="89"/>
      <c r="AL69" s="52">
        <v>0.184</v>
      </c>
      <c r="AM69" s="89"/>
      <c r="AN69" s="89"/>
      <c r="AO69" s="52">
        <v>0.30299999999999999</v>
      </c>
      <c r="AP69" s="89"/>
      <c r="AQ69" s="89"/>
      <c r="AR69" s="52">
        <v>26.82069795427196</v>
      </c>
      <c r="AS69" s="89"/>
      <c r="AT69" s="52">
        <v>44.871239470517452</v>
      </c>
      <c r="AU69" s="89"/>
    </row>
    <row r="70" spans="1:47" x14ac:dyDescent="0.35">
      <c r="A70" s="88">
        <v>35</v>
      </c>
      <c r="B70" s="52">
        <v>-11.369</v>
      </c>
      <c r="C70" s="89">
        <f t="shared" ref="C70" si="623">AVERAGE(B70:B71)</f>
        <v>-12.8245</v>
      </c>
      <c r="D70" s="52">
        <v>-14.606</v>
      </c>
      <c r="E70" s="89">
        <f t="shared" ref="E70" si="624">AVERAGE(D70:D71)</f>
        <v>-15.6355</v>
      </c>
      <c r="F70" s="52">
        <v>9.0785999999999998</v>
      </c>
      <c r="G70" s="89">
        <f t="shared" ref="G70" si="625">AVERAGE(F70:F71)</f>
        <v>9.1686499999999995</v>
      </c>
      <c r="H70" s="52">
        <v>6.1775000000000002</v>
      </c>
      <c r="I70" s="89">
        <f t="shared" ref="I70" si="626">AVERAGE(H70:H71)</f>
        <v>6.3246000000000002</v>
      </c>
      <c r="J70" s="52">
        <v>-8.7440000000000004E-2</v>
      </c>
      <c r="K70" s="89">
        <f t="shared" ref="K70:N70" si="627">AVERAGE(J70:J71)</f>
        <v>-8.7440000000000004E-2</v>
      </c>
      <c r="L70" s="89">
        <f>K70-'Hoja en sucio'!$W$117</f>
        <v>1.7028571428571587E-3</v>
      </c>
      <c r="M70" s="52">
        <v>-8.5099999999999995E-2</v>
      </c>
      <c r="N70" s="89">
        <f t="shared" si="627"/>
        <v>-8.5099999999999995E-2</v>
      </c>
      <c r="O70" s="89">
        <f>N70-'Hoja en sucio'!$W$117</f>
        <v>4.0428571428571675E-3</v>
      </c>
      <c r="P70" s="52">
        <v>-2.563E-2</v>
      </c>
      <c r="Q70" s="89">
        <f t="shared" ref="Q70:S70" si="628">AVERAGE(P70:P71)</f>
        <v>-2.2589999999999999E-2</v>
      </c>
      <c r="R70" s="52">
        <v>-9.0200000000000002E-3</v>
      </c>
      <c r="S70" s="89">
        <f t="shared" si="628"/>
        <v>-9.2899999999999996E-3</v>
      </c>
      <c r="T70" s="52">
        <v>9.6922999999999995</v>
      </c>
      <c r="U70" s="89">
        <f t="shared" ref="U70" si="629">AVERAGE(T70:T71)</f>
        <v>9.3461499999999997</v>
      </c>
      <c r="V70" s="52">
        <v>16.782</v>
      </c>
      <c r="W70" s="89">
        <f t="shared" ref="W70" si="630">AVERAGE(V70:V71)</f>
        <v>16.782</v>
      </c>
      <c r="X70" s="52">
        <v>-12.436</v>
      </c>
      <c r="Y70" s="89">
        <f t="shared" ref="Y70" si="631">AVERAGE(X70:X71)</f>
        <v>-12.173</v>
      </c>
      <c r="Z70" s="89">
        <f>Y70-'Hoja en sucio'!$G$114</f>
        <v>-1.1077500000000011</v>
      </c>
      <c r="AA70" s="52">
        <v>-15.571</v>
      </c>
      <c r="AB70" s="89">
        <f t="shared" ref="AB70" si="632">AVERAGE(AA70:AA71)</f>
        <v>-16.052499999999998</v>
      </c>
      <c r="AC70" s="89">
        <f>AB70-'Hoja en sucio'!$H$114</f>
        <v>-4.9872499999999995</v>
      </c>
      <c r="AD70" s="52">
        <v>5.3680000000000004E-3</v>
      </c>
      <c r="AE70" s="89">
        <f t="shared" ref="AE70" si="633">AVERAGE(AD70:AD71)</f>
        <v>5.1090000000000007E-3</v>
      </c>
      <c r="AF70" s="52">
        <v>5.6699999999999997E-3</v>
      </c>
      <c r="AG70" s="89">
        <f t="shared" ref="AG70:AI70" si="634">AVERAGE(AF70:AF71)</f>
        <v>6.5699999999999995E-3</v>
      </c>
      <c r="AH70" s="52">
        <v>820.74999999999989</v>
      </c>
      <c r="AI70" s="89">
        <f t="shared" si="634"/>
        <v>849.5</v>
      </c>
      <c r="AJ70" s="52">
        <v>574.39999999999975</v>
      </c>
      <c r="AK70" s="89">
        <f t="shared" ref="AK70" si="635">AVERAGE(AJ70:AJ71)</f>
        <v>548.39999999999986</v>
      </c>
      <c r="AL70" s="52">
        <v>0.189</v>
      </c>
      <c r="AM70" s="89">
        <f t="shared" ref="AM70" si="636">AVERAGE(AL70:AL71)</f>
        <v>0.192</v>
      </c>
      <c r="AN70" s="89">
        <f t="shared" ref="AN70" si="637">30*AM70</f>
        <v>5.76</v>
      </c>
      <c r="AO70" s="52">
        <v>0.28299999999999997</v>
      </c>
      <c r="AP70" s="89">
        <f t="shared" ref="AP70" si="638">AVERAGE(AO70:AO71)</f>
        <v>0.29699999999999999</v>
      </c>
      <c r="AQ70" s="89">
        <f t="shared" ref="AQ70" si="639">30*AP70</f>
        <v>8.91</v>
      </c>
      <c r="AR70" s="52">
        <v>31.634175691937418</v>
      </c>
      <c r="AS70" s="89">
        <f t="shared" ref="AS70" si="640">AVERAGE(AR70:AR71)</f>
        <v>30.400722021660648</v>
      </c>
      <c r="AT70" s="52">
        <v>41.080625752105895</v>
      </c>
      <c r="AU70" s="89">
        <f t="shared" ref="AU70" si="641">AVERAGE(AT70:AT71)</f>
        <v>41.381468110709989</v>
      </c>
    </row>
    <row r="71" spans="1:47" x14ac:dyDescent="0.35">
      <c r="A71" s="88"/>
      <c r="B71" s="52">
        <v>-14.28</v>
      </c>
      <c r="C71" s="89"/>
      <c r="D71" s="52">
        <v>-16.664999999999999</v>
      </c>
      <c r="E71" s="89"/>
      <c r="F71" s="52">
        <v>9.2586999999999993</v>
      </c>
      <c r="G71" s="89"/>
      <c r="H71" s="52">
        <v>6.4717000000000002</v>
      </c>
      <c r="I71" s="89"/>
      <c r="J71" s="52" t="s">
        <v>3</v>
      </c>
      <c r="K71" s="89"/>
      <c r="L71" s="89"/>
      <c r="M71" s="52" t="s">
        <v>3</v>
      </c>
      <c r="N71" s="89"/>
      <c r="O71" s="89"/>
      <c r="P71" s="52">
        <v>-1.9550000000000001E-2</v>
      </c>
      <c r="Q71" s="89"/>
      <c r="R71" s="52">
        <v>-9.5600000000000008E-3</v>
      </c>
      <c r="S71" s="89"/>
      <c r="T71" s="52">
        <v>9</v>
      </c>
      <c r="U71" s="89"/>
      <c r="V71" s="52">
        <v>16.782</v>
      </c>
      <c r="W71" s="89"/>
      <c r="X71" s="52">
        <v>-11.91</v>
      </c>
      <c r="Y71" s="89"/>
      <c r="Z71" s="89"/>
      <c r="AA71" s="52">
        <v>-16.533999999999999</v>
      </c>
      <c r="AB71" s="89"/>
      <c r="AC71" s="89"/>
      <c r="AD71" s="52">
        <v>4.8500000000000001E-3</v>
      </c>
      <c r="AE71" s="89"/>
      <c r="AF71" s="52">
        <v>7.4700000000000001E-3</v>
      </c>
      <c r="AG71" s="89"/>
      <c r="AH71" s="52">
        <v>878.25</v>
      </c>
      <c r="AI71" s="89"/>
      <c r="AJ71" s="52">
        <v>522.4</v>
      </c>
      <c r="AK71" s="89"/>
      <c r="AL71" s="52">
        <v>0.19500000000000001</v>
      </c>
      <c r="AM71" s="89"/>
      <c r="AN71" s="89"/>
      <c r="AO71" s="52">
        <v>0.311</v>
      </c>
      <c r="AP71" s="89"/>
      <c r="AQ71" s="89"/>
      <c r="AR71" s="52">
        <v>29.167268351383878</v>
      </c>
      <c r="AS71" s="89"/>
      <c r="AT71" s="52">
        <v>41.682310469314075</v>
      </c>
      <c r="AU71" s="89"/>
    </row>
    <row r="72" spans="1:47" x14ac:dyDescent="0.35">
      <c r="A72" s="88">
        <v>36</v>
      </c>
      <c r="B72" s="52">
        <v>-11.845000000000001</v>
      </c>
      <c r="C72" s="89">
        <f t="shared" ref="C72" si="642">AVERAGE(B72:B73)</f>
        <v>-11.1195</v>
      </c>
      <c r="D72" s="52">
        <v>-10.587999999999999</v>
      </c>
      <c r="E72" s="89">
        <f t="shared" ref="E72" si="643">AVERAGE(D72:D73)</f>
        <v>-12.109500000000001</v>
      </c>
      <c r="F72" s="52">
        <v>9.3828999999999994</v>
      </c>
      <c r="G72" s="89">
        <f t="shared" ref="G72" si="644">AVERAGE(F72:F73)</f>
        <v>9.6214999999999993</v>
      </c>
      <c r="H72" s="52">
        <v>6.6847000000000003</v>
      </c>
      <c r="I72" s="89">
        <f t="shared" ref="I72" si="645">AVERAGE(H72:H73)</f>
        <v>6.8825000000000003</v>
      </c>
      <c r="J72" s="52">
        <v>-5.3710000000000001E-2</v>
      </c>
      <c r="K72" s="89">
        <f t="shared" ref="K72:N72" si="646">AVERAGE(J72:J73)</f>
        <v>-5.3710000000000001E-2</v>
      </c>
      <c r="L72" s="89">
        <f>K72-'Hoja en sucio'!$W$117</f>
        <v>3.5432857142857162E-2</v>
      </c>
      <c r="M72" s="52">
        <v>-7.1809999999999999E-2</v>
      </c>
      <c r="N72" s="89">
        <f t="shared" si="646"/>
        <v>-7.1809999999999999E-2</v>
      </c>
      <c r="O72" s="89">
        <f>N72-'Hoja en sucio'!$W$117</f>
        <v>1.7332857142857164E-2</v>
      </c>
      <c r="P72" s="52">
        <v>-2.1930000000000002E-2</v>
      </c>
      <c r="Q72" s="89">
        <f t="shared" ref="Q72:S72" si="647">AVERAGE(P72:P73)</f>
        <v>-2.1194999999999999E-2</v>
      </c>
      <c r="R72" s="52">
        <v>-1.4749999999999999E-2</v>
      </c>
      <c r="S72" s="89">
        <f t="shared" si="647"/>
        <v>-1.2449999999999999E-2</v>
      </c>
      <c r="T72" s="52">
        <v>12.385999999999999</v>
      </c>
      <c r="U72" s="89">
        <f t="shared" ref="U72" si="648">AVERAGE(T72:T73)</f>
        <v>11.184899999999999</v>
      </c>
      <c r="V72" s="52">
        <v>30.286999999999999</v>
      </c>
      <c r="W72" s="89">
        <f t="shared" ref="W72" si="649">AVERAGE(V72:V73)</f>
        <v>30.704000000000001</v>
      </c>
      <c r="X72" s="52">
        <v>-14.8</v>
      </c>
      <c r="Y72" s="89">
        <f t="shared" ref="Y72" si="650">AVERAGE(X72:X73)</f>
        <v>-14.333</v>
      </c>
      <c r="Z72" s="89">
        <f>Y72-'Hoja en sucio'!$G$114</f>
        <v>-3.2677500000000013</v>
      </c>
      <c r="AA72" s="52">
        <v>-22.509</v>
      </c>
      <c r="AB72" s="89">
        <f t="shared" ref="AB72" si="651">AVERAGE(AA72:AA73)</f>
        <v>-23.1785</v>
      </c>
      <c r="AC72" s="89">
        <f>AB72-'Hoja en sucio'!$H$114</f>
        <v>-12.113250000000001</v>
      </c>
      <c r="AD72" s="52">
        <v>4.1050000000000001E-3</v>
      </c>
      <c r="AE72" s="89">
        <f t="shared" ref="AE72" si="652">AVERAGE(AD72:AD73)</f>
        <v>4.6840000000000007E-3</v>
      </c>
      <c r="AF72" s="52">
        <v>1.056E-2</v>
      </c>
      <c r="AG72" s="89">
        <f t="shared" ref="AG72:AI72" si="653">AVERAGE(AF72:AF73)</f>
        <v>9.8589999999999997E-3</v>
      </c>
      <c r="AH72" s="52">
        <v>500.74999999999994</v>
      </c>
      <c r="AI72" s="89">
        <f t="shared" si="653"/>
        <v>504.49999999999994</v>
      </c>
      <c r="AJ72" s="52">
        <v>686.39999999999986</v>
      </c>
      <c r="AK72" s="89">
        <f t="shared" ref="AK72" si="654">AVERAGE(AJ72:AJ73)</f>
        <v>670.39999999999986</v>
      </c>
      <c r="AL72" s="52">
        <v>0.124</v>
      </c>
      <c r="AM72" s="89">
        <f t="shared" ref="AM72" si="655">AVERAGE(AL72:AL73)</f>
        <v>0.14849999999999999</v>
      </c>
      <c r="AN72" s="89">
        <f t="shared" ref="AN72" si="656">30*AM72</f>
        <v>4.4550000000000001</v>
      </c>
      <c r="AO72" s="52">
        <v>0.28199999999999997</v>
      </c>
      <c r="AP72" s="89">
        <f t="shared" ref="AP72" si="657">AVERAGE(AO72:AO73)</f>
        <v>0.29649999999999999</v>
      </c>
      <c r="AQ72" s="89">
        <f t="shared" ref="AQ72" si="658">30*AP72</f>
        <v>8.8949999999999996</v>
      </c>
      <c r="AR72" s="52">
        <v>25.918170878459691</v>
      </c>
      <c r="AS72" s="89">
        <f t="shared" ref="AS72" si="659">AVERAGE(AR72:AR73)</f>
        <v>22.458483754512635</v>
      </c>
      <c r="AT72" s="52">
        <v>49.925391095066182</v>
      </c>
      <c r="AU72" s="89">
        <f t="shared" ref="AU72" si="660">AVERAGE(AT72:AT73)</f>
        <v>49.925391095066182</v>
      </c>
    </row>
    <row r="73" spans="1:47" x14ac:dyDescent="0.35">
      <c r="A73" s="88"/>
      <c r="B73" s="52">
        <v>-10.394</v>
      </c>
      <c r="C73" s="89"/>
      <c r="D73" s="52">
        <v>-13.631</v>
      </c>
      <c r="E73" s="89"/>
      <c r="F73" s="52">
        <v>9.8600999999999992</v>
      </c>
      <c r="G73" s="89"/>
      <c r="H73" s="52">
        <v>7.0803000000000003</v>
      </c>
      <c r="I73" s="89"/>
      <c r="J73" s="52" t="s">
        <v>3</v>
      </c>
      <c r="K73" s="89"/>
      <c r="L73" s="89"/>
      <c r="M73" s="52" t="s">
        <v>3</v>
      </c>
      <c r="N73" s="89"/>
      <c r="O73" s="89"/>
      <c r="P73" s="52">
        <v>-2.0459999999999999E-2</v>
      </c>
      <c r="Q73" s="89"/>
      <c r="R73" s="52">
        <v>-1.0149999999999999E-2</v>
      </c>
      <c r="S73" s="89"/>
      <c r="T73" s="52">
        <v>9.9838000000000005</v>
      </c>
      <c r="U73" s="89"/>
      <c r="V73" s="52">
        <v>31.120999999999999</v>
      </c>
      <c r="W73" s="89"/>
      <c r="X73" s="52">
        <v>-13.866</v>
      </c>
      <c r="Y73" s="89"/>
      <c r="Z73" s="89"/>
      <c r="AA73" s="52">
        <v>-23.847999999999999</v>
      </c>
      <c r="AB73" s="89"/>
      <c r="AC73" s="89"/>
      <c r="AD73" s="52">
        <v>5.2630000000000003E-3</v>
      </c>
      <c r="AE73" s="89"/>
      <c r="AF73" s="52">
        <v>9.1579999999999995E-3</v>
      </c>
      <c r="AG73" s="89"/>
      <c r="AH73" s="52">
        <v>508.24999999999994</v>
      </c>
      <c r="AI73" s="89"/>
      <c r="AJ73" s="52">
        <v>654.4</v>
      </c>
      <c r="AK73" s="89"/>
      <c r="AL73" s="52">
        <v>0.17299999999999999</v>
      </c>
      <c r="AM73" s="89"/>
      <c r="AN73" s="89"/>
      <c r="AO73" s="52">
        <v>0.311</v>
      </c>
      <c r="AP73" s="89"/>
      <c r="AQ73" s="89"/>
      <c r="AR73" s="52">
        <v>18.998796630565582</v>
      </c>
      <c r="AS73" s="89"/>
      <c r="AT73" s="52">
        <v>49.925391095066182</v>
      </c>
      <c r="AU73" s="89"/>
    </row>
    <row r="74" spans="1:47" x14ac:dyDescent="0.35">
      <c r="A74" s="88">
        <v>37</v>
      </c>
      <c r="B74" s="52">
        <v>-11.968999999999999</v>
      </c>
      <c r="C74" s="89">
        <f t="shared" ref="C74" si="661">AVERAGE(B74:B75)</f>
        <v>-10.426349999999999</v>
      </c>
      <c r="D74" s="52">
        <v>-15.313000000000001</v>
      </c>
      <c r="E74" s="89">
        <f t="shared" ref="E74" si="662">AVERAGE(D74:D75)</f>
        <v>-15.388500000000001</v>
      </c>
      <c r="F74" s="52">
        <v>8.7143999999999995</v>
      </c>
      <c r="G74" s="89">
        <f t="shared" ref="G74" si="663">AVERAGE(F74:F75)</f>
        <v>8.7143999999999995</v>
      </c>
      <c r="H74" s="52">
        <v>5.8935000000000004</v>
      </c>
      <c r="I74" s="89">
        <f t="shared" ref="I74" si="664">AVERAGE(H74:H75)</f>
        <v>5.4674500000000004</v>
      </c>
      <c r="J74" s="52">
        <v>-8.3659999999999998E-2</v>
      </c>
      <c r="K74" s="89">
        <f t="shared" ref="K74:N74" si="665">AVERAGE(J74:J75)</f>
        <v>-8.3659999999999998E-2</v>
      </c>
      <c r="L74" s="89">
        <f>K74-'Hoja en sucio'!$W$117</f>
        <v>5.4828571428571643E-3</v>
      </c>
      <c r="M74" s="52">
        <v>-8.5940000000000003E-2</v>
      </c>
      <c r="N74" s="89">
        <f t="shared" si="665"/>
        <v>-8.5940000000000003E-2</v>
      </c>
      <c r="O74" s="89">
        <f>N74-'Hoja en sucio'!$W$117</f>
        <v>3.2028571428571601E-3</v>
      </c>
      <c r="P74" s="52">
        <v>-1.9529999999999999E-2</v>
      </c>
      <c r="Q74" s="89">
        <f t="shared" ref="Q74:S74" si="666">AVERAGE(P74:P75)</f>
        <v>-2.1545000000000002E-2</v>
      </c>
      <c r="R74" s="52">
        <v>-4.9199999999999999E-3</v>
      </c>
      <c r="S74" s="89">
        <f t="shared" si="666"/>
        <v>-6.195E-3</v>
      </c>
      <c r="T74" s="52">
        <v>15.180999999999999</v>
      </c>
      <c r="U74" s="89">
        <f t="shared" ref="U74" si="667">AVERAGE(T74:T75)</f>
        <v>12.716999999999999</v>
      </c>
      <c r="V74" s="52">
        <v>15.676</v>
      </c>
      <c r="W74" s="89">
        <f t="shared" ref="W74" si="668">AVERAGE(V74:V75)</f>
        <v>17.210999999999999</v>
      </c>
      <c r="X74" s="52">
        <v>-19.07</v>
      </c>
      <c r="Y74" s="89">
        <f t="shared" ref="Y74" si="669">AVERAGE(X74:X75)</f>
        <v>-17.498000000000001</v>
      </c>
      <c r="Z74" s="89">
        <f>Y74-'Hoja en sucio'!$G$114</f>
        <v>-6.4327500000000022</v>
      </c>
      <c r="AA74" s="52">
        <v>-18.786000000000001</v>
      </c>
      <c r="AB74" s="89">
        <f t="shared" ref="AB74" si="670">AVERAGE(AA74:AA75)</f>
        <v>-19.192</v>
      </c>
      <c r="AC74" s="89">
        <f>AB74-'Hoja en sucio'!$H$114</f>
        <v>-8.1267500000000013</v>
      </c>
      <c r="AD74" s="75">
        <v>1.353E-3</v>
      </c>
      <c r="AE74" s="89">
        <f>AVERAGE(AD75:AD75)</f>
        <v>1.6410000000000001E-2</v>
      </c>
      <c r="AF74" s="52">
        <v>5.3679999999999999E-2</v>
      </c>
      <c r="AG74" s="89">
        <f t="shared" ref="AG74:AI74" si="671">AVERAGE(AF74:AF75)</f>
        <v>3.2524999999999998E-2</v>
      </c>
      <c r="AH74" s="52">
        <v>255.74999999999986</v>
      </c>
      <c r="AI74" s="89">
        <f t="shared" si="671"/>
        <v>254.49999999999994</v>
      </c>
      <c r="AJ74" s="52">
        <v>612.39999999999986</v>
      </c>
      <c r="AK74" s="89">
        <f t="shared" ref="AK74" si="672">AVERAGE(AJ74:AJ75)</f>
        <v>627.39999999999986</v>
      </c>
      <c r="AL74" s="52">
        <v>0.22</v>
      </c>
      <c r="AM74" s="89">
        <f t="shared" ref="AM74" si="673">AVERAGE(AL74:AL75)</f>
        <v>0.22550000000000001</v>
      </c>
      <c r="AN74" s="89">
        <f t="shared" ref="AN74" si="674">30*AM74</f>
        <v>6.7650000000000006</v>
      </c>
      <c r="AO74" s="52">
        <v>0.33700000000000002</v>
      </c>
      <c r="AP74" s="89">
        <f t="shared" ref="AP74" si="675">AVERAGE(AO74:AO75)</f>
        <v>0.35</v>
      </c>
      <c r="AQ74" s="89">
        <f t="shared" ref="AQ74" si="676">30*AP74</f>
        <v>10.5</v>
      </c>
      <c r="AR74" s="52">
        <v>35.785800240673886</v>
      </c>
      <c r="AS74" s="89">
        <f t="shared" ref="AS74" si="677">AVERAGE(AR74:AR75)</f>
        <v>35.755716004813479</v>
      </c>
      <c r="AT74" s="52">
        <v>47.157641395908541</v>
      </c>
      <c r="AU74" s="89">
        <f t="shared" ref="AU74" si="678">AVERAGE(AT74:AT75)</f>
        <v>47.067388688327313</v>
      </c>
    </row>
    <row r="75" spans="1:47" x14ac:dyDescent="0.35">
      <c r="A75" s="88"/>
      <c r="B75" s="52">
        <v>-8.8836999999999993</v>
      </c>
      <c r="C75" s="89"/>
      <c r="D75" s="52">
        <v>-15.464</v>
      </c>
      <c r="E75" s="89"/>
      <c r="F75" s="52">
        <v>8.7143999999999995</v>
      </c>
      <c r="G75" s="89"/>
      <c r="H75" s="52">
        <v>5.0414000000000003</v>
      </c>
      <c r="I75" s="89"/>
      <c r="J75" s="52" t="s">
        <v>3</v>
      </c>
      <c r="K75" s="89"/>
      <c r="L75" s="89"/>
      <c r="M75" s="52" t="s">
        <v>3</v>
      </c>
      <c r="N75" s="89"/>
      <c r="O75" s="89"/>
      <c r="P75" s="52">
        <v>-2.3560000000000001E-2</v>
      </c>
      <c r="Q75" s="89"/>
      <c r="R75" s="52">
        <v>-7.4700000000000001E-3</v>
      </c>
      <c r="S75" s="89"/>
      <c r="T75" s="52">
        <v>10.253</v>
      </c>
      <c r="U75" s="89"/>
      <c r="V75" s="52">
        <v>18.745999999999999</v>
      </c>
      <c r="W75" s="89"/>
      <c r="X75" s="52">
        <v>-15.926</v>
      </c>
      <c r="Y75" s="89"/>
      <c r="Z75" s="89"/>
      <c r="AA75" s="52">
        <v>-19.597999999999999</v>
      </c>
      <c r="AB75" s="89"/>
      <c r="AC75" s="89"/>
      <c r="AD75" s="52">
        <v>1.6410000000000001E-2</v>
      </c>
      <c r="AE75" s="89"/>
      <c r="AF75" s="52">
        <v>1.137E-2</v>
      </c>
      <c r="AG75" s="89"/>
      <c r="AH75" s="52">
        <v>253.25</v>
      </c>
      <c r="AI75" s="89"/>
      <c r="AJ75" s="52">
        <v>642.39999999999986</v>
      </c>
      <c r="AK75" s="89"/>
      <c r="AL75" s="52">
        <v>0.23100000000000001</v>
      </c>
      <c r="AM75" s="89"/>
      <c r="AN75" s="89"/>
      <c r="AO75" s="52">
        <v>0.36299999999999999</v>
      </c>
      <c r="AP75" s="89"/>
      <c r="AQ75" s="89"/>
      <c r="AR75" s="52">
        <v>35.725631768953065</v>
      </c>
      <c r="AS75" s="89"/>
      <c r="AT75" s="52">
        <v>46.977135980746084</v>
      </c>
      <c r="AU75" s="89"/>
    </row>
    <row r="76" spans="1:47" x14ac:dyDescent="0.35">
      <c r="A76" s="88">
        <v>38</v>
      </c>
      <c r="B76" s="52">
        <v>-13.978</v>
      </c>
      <c r="C76" s="89">
        <f t="shared" ref="C76" si="679">AVERAGE(B76:B77)</f>
        <v>-11.96105</v>
      </c>
      <c r="D76" s="52">
        <v>-12.989000000000001</v>
      </c>
      <c r="E76" s="89">
        <f t="shared" ref="E76" si="680">AVERAGE(D76:D77)</f>
        <v>-12.7745</v>
      </c>
      <c r="F76" s="52">
        <v>8.9370999999999992</v>
      </c>
      <c r="G76" s="89">
        <f t="shared" ref="G76" si="681">AVERAGE(F76:F77)</f>
        <v>8.8660999999999994</v>
      </c>
      <c r="H76" s="52">
        <v>7.5944000000000003</v>
      </c>
      <c r="I76" s="89">
        <f t="shared" ref="I76" si="682">AVERAGE(H76:H77)</f>
        <v>7.25875</v>
      </c>
      <c r="J76" s="52">
        <v>-5.2569999999999999E-2</v>
      </c>
      <c r="K76" s="89">
        <f t="shared" ref="K76:N76" si="683">AVERAGE(J76:J77)</f>
        <v>-5.2569999999999999E-2</v>
      </c>
      <c r="L76" s="89">
        <f>K76-'Hoja en sucio'!$W$117</f>
        <v>3.6572857142857164E-2</v>
      </c>
      <c r="M76" s="52">
        <v>-0.1111</v>
      </c>
      <c r="N76" s="89">
        <f t="shared" si="683"/>
        <v>-0.1111</v>
      </c>
      <c r="O76" s="89">
        <f>N76-'Hoja en sucio'!$W$117</f>
        <v>-2.1957142857142842E-2</v>
      </c>
      <c r="P76" s="52">
        <v>-2.6880000000000001E-2</v>
      </c>
      <c r="Q76" s="89">
        <f t="shared" ref="Q76:S76" si="684">AVERAGE(P76:P77)</f>
        <v>-2.5829999999999999E-2</v>
      </c>
      <c r="R76" s="52">
        <v>-0.1235</v>
      </c>
      <c r="S76" s="89">
        <f t="shared" si="684"/>
        <v>-6.6129999999999994E-2</v>
      </c>
      <c r="T76" s="52">
        <v>13.49</v>
      </c>
      <c r="U76" s="89">
        <f t="shared" ref="U76" si="685">AVERAGE(T76:T77)</f>
        <v>11.829000000000001</v>
      </c>
      <c r="V76" s="52">
        <v>16.253</v>
      </c>
      <c r="W76" s="89">
        <f t="shared" ref="W76" si="686">AVERAGE(V76:V77)</f>
        <v>16.433999999999997</v>
      </c>
      <c r="X76" s="52">
        <v>-18.178000000000001</v>
      </c>
      <c r="Y76" s="89">
        <f t="shared" ref="Y76" si="687">AVERAGE(X76:X77)</f>
        <v>-18.203000000000003</v>
      </c>
      <c r="Z76" s="89">
        <f>Y76-'Hoja en sucio'!$G$114</f>
        <v>-7.137750000000004</v>
      </c>
      <c r="AA76" s="52">
        <v>-25.43</v>
      </c>
      <c r="AB76" s="89">
        <f t="shared" ref="AB76" si="688">AVERAGE(AA76:AA77)</f>
        <v>-26.066499999999998</v>
      </c>
      <c r="AC76" s="89">
        <f>AB76-'Hoja en sucio'!$H$114</f>
        <v>-15.001249999999999</v>
      </c>
      <c r="AD76" s="52">
        <v>1.7680000000000001E-2</v>
      </c>
      <c r="AE76" s="89">
        <f>AVERAGE(AD76:AD76)</f>
        <v>1.7680000000000001E-2</v>
      </c>
      <c r="AF76" s="52">
        <v>2.3120000000000002E-2</v>
      </c>
      <c r="AG76" s="89">
        <f t="shared" ref="AG76:AI76" si="689">AVERAGE(AF76:AF77)</f>
        <v>2.3120000000000002E-2</v>
      </c>
      <c r="AH76" s="52">
        <v>330.74999999999994</v>
      </c>
      <c r="AI76" s="89">
        <f t="shared" si="689"/>
        <v>304.5</v>
      </c>
      <c r="AJ76" s="52">
        <v>666.39999999999986</v>
      </c>
      <c r="AK76" s="89">
        <f t="shared" ref="AK76" si="690">AVERAGE(AJ76:AJ77)</f>
        <v>637.39999999999986</v>
      </c>
      <c r="AL76" s="52">
        <v>6.0999999999999999E-2</v>
      </c>
      <c r="AM76" s="89">
        <f t="shared" ref="AM76" si="691">AVERAGE(AL76:AL77)</f>
        <v>0.17050000000000001</v>
      </c>
      <c r="AN76" s="89">
        <f t="shared" ref="AN76" si="692">30*AM76</f>
        <v>5.1150000000000002</v>
      </c>
      <c r="AO76" s="52">
        <v>0.3</v>
      </c>
      <c r="AP76" s="89">
        <f t="shared" ref="AP76" si="693">AVERAGE(AO76:AO77)</f>
        <v>0.29549999999999998</v>
      </c>
      <c r="AQ76" s="89">
        <f t="shared" ref="AQ76" si="694">30*AP76</f>
        <v>8.8650000000000002</v>
      </c>
      <c r="AR76" s="52">
        <v>32.536702767749695</v>
      </c>
      <c r="AS76" s="89">
        <f t="shared" ref="AS76" si="695">AVERAGE(AR76:AR77)</f>
        <v>33.770156438026476</v>
      </c>
      <c r="AT76" s="52">
        <v>32.837545126353788</v>
      </c>
      <c r="AU76" s="89">
        <f t="shared" ref="AU76" si="696">AVERAGE(AT76:AT77)</f>
        <v>33.559566787003604</v>
      </c>
    </row>
    <row r="77" spans="1:47" x14ac:dyDescent="0.35">
      <c r="A77" s="88"/>
      <c r="B77" s="52">
        <v>-9.9441000000000006</v>
      </c>
      <c r="C77" s="89"/>
      <c r="D77" s="52">
        <v>-12.56</v>
      </c>
      <c r="E77" s="89"/>
      <c r="F77" s="52">
        <v>8.7950999999999997</v>
      </c>
      <c r="G77" s="89"/>
      <c r="H77" s="52">
        <v>6.9230999999999998</v>
      </c>
      <c r="I77" s="89"/>
      <c r="J77" s="52" t="s">
        <v>3</v>
      </c>
      <c r="K77" s="89"/>
      <c r="L77" s="89"/>
      <c r="M77" s="52" t="s">
        <v>3</v>
      </c>
      <c r="N77" s="89"/>
      <c r="O77" s="89"/>
      <c r="P77" s="52">
        <v>-2.478E-2</v>
      </c>
      <c r="Q77" s="89"/>
      <c r="R77" s="52">
        <v>-8.7600000000000004E-3</v>
      </c>
      <c r="S77" s="89"/>
      <c r="T77" s="52">
        <v>10.167999999999999</v>
      </c>
      <c r="U77" s="89"/>
      <c r="V77" s="52">
        <v>16.614999999999998</v>
      </c>
      <c r="W77" s="89"/>
      <c r="X77" s="52">
        <v>-18.228000000000002</v>
      </c>
      <c r="Y77" s="89"/>
      <c r="Z77" s="89"/>
      <c r="AA77" s="52">
        <v>-26.702999999999999</v>
      </c>
      <c r="AB77" s="89"/>
      <c r="AC77" s="89"/>
      <c r="AD77" s="75">
        <v>8.3680000000000004E-2</v>
      </c>
      <c r="AE77" s="89"/>
      <c r="AF77" s="52"/>
      <c r="AG77" s="89"/>
      <c r="AH77" s="52">
        <v>278.25</v>
      </c>
      <c r="AI77" s="89"/>
      <c r="AJ77" s="52">
        <v>608.4</v>
      </c>
      <c r="AK77" s="89"/>
      <c r="AL77" s="52">
        <v>0.28000000000000003</v>
      </c>
      <c r="AM77" s="89"/>
      <c r="AN77" s="89"/>
      <c r="AO77" s="52">
        <v>0.29099999999999998</v>
      </c>
      <c r="AP77" s="89"/>
      <c r="AQ77" s="89"/>
      <c r="AR77" s="52">
        <v>35.003610108303249</v>
      </c>
      <c r="AS77" s="89"/>
      <c r="AT77" s="52">
        <v>34.281588447653426</v>
      </c>
      <c r="AU77" s="89"/>
    </row>
    <row r="78" spans="1:47" x14ac:dyDescent="0.35">
      <c r="A78" s="88">
        <v>39</v>
      </c>
      <c r="B78" s="52">
        <v>-14.314</v>
      </c>
      <c r="C78" s="89">
        <f>AVERAGE(B78:B79)</f>
        <v>-13.5655</v>
      </c>
      <c r="D78" s="52">
        <v>-14.74</v>
      </c>
      <c r="E78" s="89">
        <f>AVERAGE(D78:D79)</f>
        <v>-15.0565</v>
      </c>
      <c r="F78" s="52">
        <v>9.6083999999999996</v>
      </c>
      <c r="G78" s="89">
        <f>AVERAGE(F78:F79)</f>
        <v>10.1747</v>
      </c>
      <c r="H78" s="52">
        <v>6.1877000000000004</v>
      </c>
      <c r="I78" s="89">
        <f>AVERAGE(H78:H79)</f>
        <v>7.0042500000000008</v>
      </c>
      <c r="J78" s="52">
        <v>-7.6910000000000006E-2</v>
      </c>
      <c r="K78" s="89">
        <f>AVERAGE(J78:J79)</f>
        <v>-7.6910000000000006E-2</v>
      </c>
      <c r="L78" s="89">
        <f>K78-'Hoja en sucio'!$W$117</f>
        <v>1.2232857142857156E-2</v>
      </c>
      <c r="M78" s="52">
        <v>-0.11210000000000001</v>
      </c>
      <c r="N78" s="89">
        <f>AVERAGE(M78:M79)</f>
        <v>-0.11210000000000001</v>
      </c>
      <c r="O78" s="89">
        <f>N78-'Hoja en sucio'!$W$117</f>
        <v>-2.2957142857142843E-2</v>
      </c>
      <c r="P78" s="52">
        <v>-2.9139999999999999E-2</v>
      </c>
      <c r="Q78" s="89">
        <f>AVERAGE(P78:P79)</f>
        <v>-3.0259999999999999E-2</v>
      </c>
      <c r="R78" s="52">
        <v>-2.52E-2</v>
      </c>
      <c r="S78" s="89">
        <f>AVERAGE(R78:R79)</f>
        <v>-2.0764999999999999E-2</v>
      </c>
      <c r="T78" s="52">
        <v>12.33</v>
      </c>
      <c r="U78" s="89">
        <f>AVERAGE(T78:T79)</f>
        <v>11.440999999999999</v>
      </c>
      <c r="V78" s="52">
        <v>31.65</v>
      </c>
      <c r="W78" s="89">
        <f>AVERAGE(V78:V79)</f>
        <v>29.975999999999999</v>
      </c>
      <c r="X78" s="52">
        <v>-17.102</v>
      </c>
      <c r="Y78" s="89">
        <f>AVERAGE(X78:X79)</f>
        <v>-16.301000000000002</v>
      </c>
      <c r="Z78" s="89">
        <f>Y78-'Hoja en sucio'!$G$114</f>
        <v>-5.235750000000003</v>
      </c>
      <c r="AA78" s="52">
        <v>-23.614999999999998</v>
      </c>
      <c r="AB78" s="89">
        <f>AVERAGE(AA78:AA79)</f>
        <v>-24.3095</v>
      </c>
      <c r="AC78" s="89">
        <f>AB78-'Hoja en sucio'!$H$114</f>
        <v>-13.244250000000001</v>
      </c>
      <c r="AD78" s="75">
        <v>2.526E-3</v>
      </c>
      <c r="AE78" s="89">
        <f>AVERAGE(AD79:AD80)</f>
        <v>2.2440000000000002E-2</v>
      </c>
      <c r="AF78" s="52">
        <v>2.7699999999999999E-2</v>
      </c>
      <c r="AG78" s="89">
        <f t="shared" ref="AG78" si="697">AVERAGE(AF78:AF80)</f>
        <v>1.7239999999999998E-2</v>
      </c>
      <c r="AH78" s="52">
        <v>720.75</v>
      </c>
      <c r="AI78" s="89">
        <f>AVERAGE(AH78:AH79)</f>
        <v>710.75</v>
      </c>
      <c r="AJ78" s="52">
        <v>630.39999999999986</v>
      </c>
      <c r="AK78" s="89">
        <f>AVERAGE(AJ78:AJ79)</f>
        <v>651.39999999999986</v>
      </c>
      <c r="AL78" s="52">
        <v>7.2999999999999995E-2</v>
      </c>
      <c r="AM78" s="89">
        <f>AVERAGE(AL78:AL79)</f>
        <v>0.17450000000000002</v>
      </c>
      <c r="AN78" s="89">
        <f>30*AM78</f>
        <v>5.2350000000000003</v>
      </c>
      <c r="AO78" s="52">
        <v>0.32500000000000001</v>
      </c>
      <c r="AP78" s="89">
        <f>AVERAGE(AO78:AO79)</f>
        <v>0.34050000000000002</v>
      </c>
      <c r="AQ78" s="89">
        <f>30*AP78</f>
        <v>10.215</v>
      </c>
      <c r="AR78" s="52">
        <v>34.883273164861613</v>
      </c>
      <c r="AS78" s="89">
        <f>AVERAGE(AR78:AR79)</f>
        <v>34.823104693140792</v>
      </c>
      <c r="AT78" s="52">
        <v>69.600481347773766</v>
      </c>
      <c r="AU78" s="89">
        <f>AVERAGE(AT78:AT80)</f>
        <v>57.005214600882475</v>
      </c>
    </row>
    <row r="79" spans="1:47" x14ac:dyDescent="0.35">
      <c r="A79" s="88"/>
      <c r="B79" s="52">
        <v>-12.817</v>
      </c>
      <c r="C79" s="89"/>
      <c r="D79" s="52">
        <v>-15.372999999999999</v>
      </c>
      <c r="E79" s="89"/>
      <c r="F79" s="52">
        <v>10.741</v>
      </c>
      <c r="G79" s="89"/>
      <c r="H79" s="52">
        <v>7.8208000000000002</v>
      </c>
      <c r="I79" s="89"/>
      <c r="J79" s="52" t="s">
        <v>3</v>
      </c>
      <c r="K79" s="89"/>
      <c r="L79" s="89"/>
      <c r="M79" s="52" t="s">
        <v>3</v>
      </c>
      <c r="N79" s="89"/>
      <c r="O79" s="89"/>
      <c r="P79" s="52">
        <v>-3.1379999999999998E-2</v>
      </c>
      <c r="Q79" s="89"/>
      <c r="R79" s="52">
        <v>-1.6330000000000001E-2</v>
      </c>
      <c r="S79" s="89"/>
      <c r="T79" s="52">
        <v>10.552</v>
      </c>
      <c r="U79" s="89"/>
      <c r="V79" s="52">
        <v>28.302</v>
      </c>
      <c r="W79" s="89"/>
      <c r="X79" s="52">
        <v>-15.5</v>
      </c>
      <c r="Y79" s="89"/>
      <c r="Z79" s="89"/>
      <c r="AA79" s="52">
        <v>-25.004000000000001</v>
      </c>
      <c r="AB79" s="89"/>
      <c r="AC79" s="89"/>
      <c r="AD79" s="52">
        <v>2.2440000000000002E-2</v>
      </c>
      <c r="AE79" s="89"/>
      <c r="AF79" s="52">
        <v>6.7800000000000004E-3</v>
      </c>
      <c r="AG79" s="89"/>
      <c r="AH79" s="52">
        <v>700.75</v>
      </c>
      <c r="AI79" s="89"/>
      <c r="AJ79" s="52">
        <v>672.39999999999986</v>
      </c>
      <c r="AK79" s="89"/>
      <c r="AL79" s="52">
        <v>0.27600000000000002</v>
      </c>
      <c r="AM79" s="89"/>
      <c r="AN79" s="89"/>
      <c r="AO79" s="52">
        <v>0.35599999999999998</v>
      </c>
      <c r="AP79" s="89"/>
      <c r="AQ79" s="89"/>
      <c r="AR79" s="52">
        <v>34.76293622141997</v>
      </c>
      <c r="AS79" s="89"/>
      <c r="AT79" s="52">
        <v>65.388688327316501</v>
      </c>
      <c r="AU79" s="89"/>
    </row>
    <row r="80" spans="1:47" x14ac:dyDescent="0.35">
      <c r="A80" s="88"/>
      <c r="C80" s="89"/>
      <c r="E80" s="89"/>
      <c r="G80" s="89"/>
      <c r="I80" s="89"/>
      <c r="K80" s="89"/>
      <c r="L80" s="89"/>
      <c r="N80" s="89"/>
      <c r="O80" s="89"/>
      <c r="Q80" s="89"/>
      <c r="S80" s="89"/>
      <c r="U80" s="89"/>
      <c r="W80" s="89"/>
      <c r="Y80" s="89"/>
      <c r="Z80" s="89"/>
      <c r="AB80" s="89"/>
      <c r="AC80" s="89"/>
      <c r="AE80" s="89"/>
      <c r="AF80" s="52"/>
      <c r="AG80" s="89"/>
      <c r="AI80" s="89"/>
      <c r="AK80" s="89"/>
      <c r="AM80" s="89"/>
      <c r="AN80" s="89"/>
      <c r="AP80" s="89"/>
      <c r="AQ80" s="89"/>
      <c r="AS80" s="89"/>
      <c r="AT80">
        <v>36.026474127557158</v>
      </c>
      <c r="AU80" s="89"/>
    </row>
    <row r="81" spans="1:47" x14ac:dyDescent="0.35">
      <c r="A81" s="88">
        <v>40</v>
      </c>
      <c r="B81" s="52">
        <v>-10.755000000000001</v>
      </c>
      <c r="C81" s="89">
        <f t="shared" ref="C81" si="698">AVERAGE(B81:B82)</f>
        <v>-8.8269000000000002</v>
      </c>
      <c r="D81" s="52">
        <v>-14.143000000000001</v>
      </c>
      <c r="E81" s="89">
        <f t="shared" ref="E81" si="699">AVERAGE(D81:D82)</f>
        <v>-14.9345</v>
      </c>
      <c r="F81" s="52">
        <v>9.8600999999999992</v>
      </c>
      <c r="G81" s="89">
        <f t="shared" ref="G81" si="700">AVERAGE(F81:F82)</f>
        <v>9.7067999999999994</v>
      </c>
      <c r="H81" s="52">
        <v>7.5773000000000001</v>
      </c>
      <c r="I81" s="89">
        <f t="shared" ref="I81" si="701">AVERAGE(H81:H82)</f>
        <v>8.3765499999999999</v>
      </c>
      <c r="J81" s="52">
        <v>-8.5999999999999993E-2</v>
      </c>
      <c r="K81" s="89">
        <f t="shared" ref="K81:N81" si="702">AVERAGE(J81:J82)</f>
        <v>-8.5999999999999993E-2</v>
      </c>
      <c r="L81" s="89">
        <f>K81-'Hoja en sucio'!$W$117</f>
        <v>3.1428571428571694E-3</v>
      </c>
      <c r="M81" s="52">
        <v>-0.1278</v>
      </c>
      <c r="N81" s="89">
        <f t="shared" si="702"/>
        <v>-0.1278</v>
      </c>
      <c r="O81" s="89">
        <f>N81-'Hoja en sucio'!$W$117</f>
        <v>-3.8657142857142834E-2</v>
      </c>
      <c r="P81" s="52">
        <v>-1.873E-2</v>
      </c>
      <c r="Q81" s="89">
        <f t="shared" ref="Q81:S81" si="703">AVERAGE(P81:P82)</f>
        <v>-1.8849999999999999E-2</v>
      </c>
      <c r="R81" s="52">
        <v>-1.2619999999999999E-2</v>
      </c>
      <c r="S81" s="89">
        <f t="shared" si="703"/>
        <v>-1.0345E-2</v>
      </c>
      <c r="T81" s="52">
        <v>11.593</v>
      </c>
      <c r="U81" s="89">
        <f t="shared" ref="U81" si="704">AVERAGE(T81:T82)</f>
        <v>10.1053</v>
      </c>
      <c r="V81" s="52">
        <v>19.791</v>
      </c>
      <c r="W81" s="89">
        <f t="shared" ref="W81" si="705">AVERAGE(V81:V82)</f>
        <v>20.202500000000001</v>
      </c>
      <c r="X81" s="52">
        <v>-14.516999999999999</v>
      </c>
      <c r="Y81" s="89">
        <f t="shared" ref="Y81" si="706">AVERAGE(X81:X82)</f>
        <v>-14.3705</v>
      </c>
      <c r="Z81" s="89">
        <f>Y81-'Hoja en sucio'!$G$114</f>
        <v>-3.3052500000000009</v>
      </c>
      <c r="AA81" s="52">
        <v>-23.655000000000001</v>
      </c>
      <c r="AB81" s="89">
        <f t="shared" ref="AB81" si="707">AVERAGE(AA81:AA82)</f>
        <v>-24.431000000000001</v>
      </c>
      <c r="AC81" s="89">
        <f>AB81-'Hoja en sucio'!$H$114</f>
        <v>-13.365750000000002</v>
      </c>
      <c r="AD81" s="52">
        <v>8.2330000000000007E-3</v>
      </c>
      <c r="AE81" s="89">
        <f>AVERAGE(AD81:AD82)</f>
        <v>7.5565000000000007E-3</v>
      </c>
      <c r="AF81" s="52">
        <v>1.2630000000000001E-2</v>
      </c>
      <c r="AG81" s="89">
        <f>AVERAGE(AF81:AF81)</f>
        <v>1.2630000000000001E-2</v>
      </c>
      <c r="AH81" s="52">
        <v>253.24999999999986</v>
      </c>
      <c r="AI81" s="89">
        <f t="shared" ref="AI81" si="708">AVERAGE(AH81:AH82)</f>
        <v>234.49999999999991</v>
      </c>
      <c r="AJ81" s="52">
        <v>480.39999999999981</v>
      </c>
      <c r="AK81" s="89">
        <f t="shared" ref="AK81" si="709">AVERAGE(AJ81:AJ82)</f>
        <v>466.39999999999986</v>
      </c>
      <c r="AL81" s="52">
        <v>0.19500000000000001</v>
      </c>
      <c r="AM81" s="89">
        <f t="shared" ref="AM81" si="710">AVERAGE(AL81:AL82)</f>
        <v>0.20500000000000002</v>
      </c>
      <c r="AN81" s="89">
        <f>30*AM81</f>
        <v>6.15</v>
      </c>
      <c r="AO81" s="52">
        <v>0.28299999999999997</v>
      </c>
      <c r="AP81" s="89">
        <f t="shared" ref="AP81" si="711">AVERAGE(AO81:AO82)</f>
        <v>0.30299999999999999</v>
      </c>
      <c r="AQ81" s="89">
        <f>30*AP81</f>
        <v>9.09</v>
      </c>
      <c r="AR81" s="52">
        <v>25.13598074608905</v>
      </c>
      <c r="AS81" s="89">
        <f t="shared" ref="AS81" si="712">AVERAGE(AR81:AR82)</f>
        <v>26.249097472924188</v>
      </c>
      <c r="AT81" s="52">
        <v>77.542719614921793</v>
      </c>
      <c r="AU81" s="89">
        <f t="shared" ref="AU81" si="713">AVERAGE(AT81:AT82)</f>
        <v>75.376654632972333</v>
      </c>
    </row>
    <row r="82" spans="1:47" x14ac:dyDescent="0.35">
      <c r="A82" s="88"/>
      <c r="B82" s="52">
        <v>-6.8987999999999996</v>
      </c>
      <c r="C82" s="89"/>
      <c r="D82" s="52">
        <v>-15.726000000000001</v>
      </c>
      <c r="E82" s="89"/>
      <c r="F82" s="52">
        <v>9.5534999999999997</v>
      </c>
      <c r="G82" s="89"/>
      <c r="H82" s="52">
        <v>9.1758000000000006</v>
      </c>
      <c r="I82" s="89"/>
      <c r="J82" s="52" t="s">
        <v>3</v>
      </c>
      <c r="K82" s="89"/>
      <c r="L82" s="89"/>
      <c r="M82" s="52" t="s">
        <v>3</v>
      </c>
      <c r="N82" s="89"/>
      <c r="O82" s="89"/>
      <c r="P82" s="52">
        <v>-1.8970000000000001E-2</v>
      </c>
      <c r="Q82" s="89"/>
      <c r="R82" s="52">
        <v>-8.0700000000000008E-3</v>
      </c>
      <c r="S82" s="89"/>
      <c r="T82" s="52">
        <v>8.6175999999999995</v>
      </c>
      <c r="U82" s="89"/>
      <c r="V82" s="52">
        <v>20.614000000000001</v>
      </c>
      <c r="W82" s="89"/>
      <c r="X82" s="52">
        <v>-14.224</v>
      </c>
      <c r="Y82" s="89"/>
      <c r="Z82" s="89"/>
      <c r="AA82" s="52">
        <v>-25.207000000000001</v>
      </c>
      <c r="AB82" s="89"/>
      <c r="AC82" s="89"/>
      <c r="AD82" s="52">
        <v>6.8799999999999998E-3</v>
      </c>
      <c r="AE82" s="89"/>
      <c r="AF82" s="75">
        <v>3.421E-3</v>
      </c>
      <c r="AG82" s="89"/>
      <c r="AH82" s="52">
        <v>215.74999999999997</v>
      </c>
      <c r="AI82" s="89"/>
      <c r="AJ82" s="52">
        <v>452.39999999999992</v>
      </c>
      <c r="AK82" s="89"/>
      <c r="AL82" s="52">
        <v>0.215</v>
      </c>
      <c r="AM82" s="89"/>
      <c r="AN82" s="89"/>
      <c r="AO82" s="52">
        <v>0.32300000000000001</v>
      </c>
      <c r="AP82" s="89"/>
      <c r="AQ82" s="89"/>
      <c r="AR82" s="52">
        <v>27.362214199759325</v>
      </c>
      <c r="AS82" s="89"/>
      <c r="AT82" s="52">
        <v>73.210589651022872</v>
      </c>
      <c r="AU82" s="89"/>
    </row>
    <row r="83" spans="1:47" x14ac:dyDescent="0.35">
      <c r="A83" s="88">
        <v>41</v>
      </c>
      <c r="B83" s="52">
        <v>-4.6744000000000003</v>
      </c>
      <c r="C83" s="89">
        <f t="shared" ref="C83" si="714">AVERAGE(B83:B84)</f>
        <v>-5.1094500000000007</v>
      </c>
      <c r="D83" s="52">
        <v>-16.218</v>
      </c>
      <c r="E83" s="89">
        <f t="shared" ref="E83" si="715">AVERAGE(D83:D84)</f>
        <v>-16.923000000000002</v>
      </c>
      <c r="F83" s="52">
        <v>5.9543999999999997</v>
      </c>
      <c r="G83" s="89">
        <f t="shared" ref="G83" si="716">AVERAGE(F83:F84)</f>
        <v>7.0092999999999996</v>
      </c>
      <c r="H83" s="52">
        <v>7.1329000000000002</v>
      </c>
      <c r="I83" s="89">
        <f t="shared" ref="I83" si="717">AVERAGE(H83:H84)</f>
        <v>7.0069999999999997</v>
      </c>
      <c r="J83" s="52">
        <v>-8.8289999999999993E-2</v>
      </c>
      <c r="K83" s="89">
        <f t="shared" ref="K83:N83" si="718">AVERAGE(J83:J84)</f>
        <v>-8.8289999999999993E-2</v>
      </c>
      <c r="L83" s="89">
        <f>K83-'Hoja en sucio'!$W$117</f>
        <v>8.5285714285716907E-4</v>
      </c>
      <c r="M83" s="52">
        <v>-0.124</v>
      </c>
      <c r="N83" s="89">
        <f t="shared" si="718"/>
        <v>-0.124</v>
      </c>
      <c r="O83" s="89">
        <f>N83-'Hoja en sucio'!$W$117</f>
        <v>-3.4857142857142837E-2</v>
      </c>
      <c r="P83" s="52">
        <v>-2.3189999999999999E-2</v>
      </c>
      <c r="Q83" s="89">
        <f t="shared" ref="Q83:S83" si="719">AVERAGE(P83:P84)</f>
        <v>-2.2030000000000001E-2</v>
      </c>
      <c r="R83" s="52">
        <v>-7.3499999999999998E-3</v>
      </c>
      <c r="S83" s="89">
        <f t="shared" si="719"/>
        <v>-5.5149999999999999E-3</v>
      </c>
      <c r="T83" s="52">
        <v>12.512</v>
      </c>
      <c r="U83" s="89">
        <f t="shared" ref="U83" si="720">AVERAGE(T83:T84)</f>
        <v>10.69425</v>
      </c>
      <c r="V83" s="52">
        <v>16.187000000000001</v>
      </c>
      <c r="W83" s="89">
        <f t="shared" ref="W83" si="721">AVERAGE(V83:V84)</f>
        <v>16.3125</v>
      </c>
      <c r="X83" s="52">
        <v>-15.145</v>
      </c>
      <c r="Y83" s="89">
        <f t="shared" ref="Y83" si="722">AVERAGE(X83:X84)</f>
        <v>-14.9215</v>
      </c>
      <c r="Z83" s="89">
        <f>Y83-'Hoja en sucio'!$G$114</f>
        <v>-3.8562500000000011</v>
      </c>
      <c r="AA83" s="52">
        <v>-15.997</v>
      </c>
      <c r="AB83" s="89">
        <f t="shared" ref="AB83" si="723">AVERAGE(AA83:AA84)</f>
        <v>-16.503999999999998</v>
      </c>
      <c r="AC83" s="89">
        <f>AB83-'Hoja en sucio'!$H$114</f>
        <v>-5.4387499999999989</v>
      </c>
      <c r="AD83" s="52">
        <v>7.8949999999999992E-3</v>
      </c>
      <c r="AE83" s="89">
        <f t="shared" ref="AE83" si="724">AVERAGE(AD83:AD84)</f>
        <v>7.8949999999999992E-3</v>
      </c>
      <c r="AF83" s="52">
        <v>1.8970000000000001E-2</v>
      </c>
      <c r="AG83" s="89">
        <f t="shared" ref="AG83:AI83" si="725">AVERAGE(AF83:AF84)</f>
        <v>1.5630000000000002E-2</v>
      </c>
      <c r="AH83" s="52">
        <v>388.49999999999994</v>
      </c>
      <c r="AI83" s="89">
        <f t="shared" si="725"/>
        <v>400.99999999999994</v>
      </c>
      <c r="AJ83" s="52">
        <v>463.5</v>
      </c>
      <c r="AK83" s="89">
        <f t="shared" ref="AK83" si="726">AVERAGE(AJ83:AJ84)</f>
        <v>446</v>
      </c>
      <c r="AL83" s="52">
        <v>0.222</v>
      </c>
      <c r="AM83" s="89">
        <f t="shared" ref="AM83" si="727">AVERAGE(AL83:AL84)</f>
        <v>0.23849999999999999</v>
      </c>
      <c r="AN83" s="89">
        <f t="shared" ref="AN83" si="728">30*AM83</f>
        <v>7.1549999999999994</v>
      </c>
      <c r="AO83" s="52">
        <v>0.30099999999999999</v>
      </c>
      <c r="AP83" s="89">
        <f t="shared" ref="AP83" si="729">AVERAGE(AO83:AO84)</f>
        <v>0.318</v>
      </c>
      <c r="AQ83" s="89">
        <f t="shared" ref="AQ83" si="730">30*AP83</f>
        <v>9.5400000000000009</v>
      </c>
      <c r="AR83" s="52">
        <v>45.653429602888089</v>
      </c>
      <c r="AS83" s="89">
        <f t="shared" ref="AS83" si="731">AVERAGE(AR83:AR84)</f>
        <v>39.847172081829122</v>
      </c>
      <c r="AT83" s="52">
        <v>37.891696750902526</v>
      </c>
      <c r="AU83" s="89">
        <f t="shared" ref="AU83" si="732">AVERAGE(AT83:AT84)</f>
        <v>39.335740072202164</v>
      </c>
    </row>
    <row r="84" spans="1:47" x14ac:dyDescent="0.35">
      <c r="A84" s="88"/>
      <c r="B84" s="52">
        <v>-5.5445000000000002</v>
      </c>
      <c r="C84" s="89"/>
      <c r="D84" s="52">
        <v>-17.628</v>
      </c>
      <c r="E84" s="89"/>
      <c r="F84" s="52">
        <v>8.0641999999999996</v>
      </c>
      <c r="G84" s="89"/>
      <c r="H84" s="52">
        <v>6.8811</v>
      </c>
      <c r="I84" s="89"/>
      <c r="J84" s="52" t="s">
        <v>3</v>
      </c>
      <c r="K84" s="89"/>
      <c r="L84" s="89"/>
      <c r="M84" s="52" t="s">
        <v>3</v>
      </c>
      <c r="N84" s="89"/>
      <c r="O84" s="89"/>
      <c r="P84" s="52">
        <v>-2.087E-2</v>
      </c>
      <c r="Q84" s="89"/>
      <c r="R84" s="52">
        <v>-3.6800000000000001E-3</v>
      </c>
      <c r="S84" s="89"/>
      <c r="T84" s="52">
        <v>8.8765000000000001</v>
      </c>
      <c r="U84" s="89"/>
      <c r="V84" s="52">
        <v>16.437999999999999</v>
      </c>
      <c r="W84" s="89"/>
      <c r="X84" s="52">
        <v>-14.698</v>
      </c>
      <c r="Y84" s="89"/>
      <c r="Z84" s="89"/>
      <c r="AA84" s="52">
        <v>-17.010999999999999</v>
      </c>
      <c r="AB84" s="89"/>
      <c r="AC84" s="89"/>
      <c r="AD84" s="52"/>
      <c r="AE84" s="89"/>
      <c r="AF84" s="52">
        <v>1.2290000000000001E-2</v>
      </c>
      <c r="AG84" s="89"/>
      <c r="AH84" s="52">
        <v>413.49999999999994</v>
      </c>
      <c r="AI84" s="89"/>
      <c r="AJ84" s="52">
        <v>428.49999999999994</v>
      </c>
      <c r="AK84" s="89"/>
      <c r="AL84" s="52">
        <v>0.255</v>
      </c>
      <c r="AM84" s="89"/>
      <c r="AN84" s="89"/>
      <c r="AO84" s="52">
        <v>0.33500000000000002</v>
      </c>
      <c r="AP84" s="89"/>
      <c r="AQ84" s="89"/>
      <c r="AR84" s="52">
        <v>34.040914560770155</v>
      </c>
      <c r="AS84" s="89"/>
      <c r="AT84" s="52">
        <v>40.779783393501802</v>
      </c>
      <c r="AU84" s="89"/>
    </row>
    <row r="85" spans="1:47" x14ac:dyDescent="0.35">
      <c r="A85" s="88">
        <v>42</v>
      </c>
      <c r="B85" s="52">
        <v>-4.782</v>
      </c>
      <c r="C85" s="89">
        <f t="shared" ref="C85" si="733">AVERAGE(B85:B86)</f>
        <v>-5.6951999999999998</v>
      </c>
      <c r="D85" s="52">
        <v>-16.027999999999999</v>
      </c>
      <c r="E85" s="89">
        <f t="shared" ref="E85" si="734">AVERAGE(D85:D86)</f>
        <v>-16.061</v>
      </c>
      <c r="F85" s="52">
        <v>8.5594000000000001</v>
      </c>
      <c r="G85" s="89">
        <f t="shared" ref="G85" si="735">AVERAGE(F85:F86)</f>
        <v>9.7987000000000002</v>
      </c>
      <c r="H85" s="52">
        <v>7.9301000000000004</v>
      </c>
      <c r="I85" s="89">
        <f t="shared" ref="I85" si="736">AVERAGE(H85:H86)</f>
        <v>7.7574000000000005</v>
      </c>
      <c r="J85" s="52">
        <v>-8.1559999999999994E-2</v>
      </c>
      <c r="K85" s="89">
        <f t="shared" ref="K85:N85" si="737">AVERAGE(J85:J86)</f>
        <v>-8.1559999999999994E-2</v>
      </c>
      <c r="L85" s="89">
        <f>K85-'Hoja en sucio'!$W$117</f>
        <v>7.5828571428571689E-3</v>
      </c>
      <c r="M85" s="52">
        <v>-0.1084</v>
      </c>
      <c r="N85" s="89">
        <f t="shared" si="737"/>
        <v>-0.1084</v>
      </c>
      <c r="O85" s="89">
        <f>N85-'Hoja en sucio'!$W$117</f>
        <v>-1.9257142857142834E-2</v>
      </c>
      <c r="P85" s="52">
        <v>-1.4370000000000001E-2</v>
      </c>
      <c r="Q85" s="89">
        <f t="shared" ref="Q85:S85" si="738">AVERAGE(P85:P86)</f>
        <v>-1.5130000000000001E-2</v>
      </c>
      <c r="R85" s="52">
        <v>-1.4749999999999999E-2</v>
      </c>
      <c r="S85" s="89">
        <f t="shared" si="738"/>
        <v>-1.3475000000000001E-2</v>
      </c>
      <c r="T85" s="52">
        <v>7.4294000000000002</v>
      </c>
      <c r="U85" s="89">
        <f t="shared" ref="U85" si="739">AVERAGE(T85:T86)</f>
        <v>7.1057500000000005</v>
      </c>
      <c r="V85" s="52">
        <v>25.282</v>
      </c>
      <c r="W85" s="89">
        <f t="shared" ref="W85" si="740">AVERAGE(V85:V86)</f>
        <v>26.753999999999998</v>
      </c>
      <c r="X85" s="52">
        <v>-12.651999999999999</v>
      </c>
      <c r="Y85" s="89">
        <f t="shared" ref="Y85" si="741">AVERAGE(X85:X86)</f>
        <v>-12.9185</v>
      </c>
      <c r="Z85" s="89">
        <f>Y85-'Hoja en sucio'!$G$114</f>
        <v>-1.853250000000001</v>
      </c>
      <c r="AA85" s="52">
        <v>-22.189</v>
      </c>
      <c r="AB85" s="89">
        <f t="shared" ref="AB85" si="742">AVERAGE(AA85:AA86)</f>
        <v>-23.2315</v>
      </c>
      <c r="AC85" s="89">
        <f>AB85-'Hoja en sucio'!$H$114</f>
        <v>-12.166250000000002</v>
      </c>
      <c r="AD85" s="52">
        <v>1.895E-3</v>
      </c>
      <c r="AE85" s="89">
        <f t="shared" ref="AE85" si="743">AVERAGE(AD85:AD86)</f>
        <v>2.6845000000000003E-3</v>
      </c>
      <c r="AF85" s="52">
        <v>1.39E-3</v>
      </c>
      <c r="AG85" s="89">
        <f t="shared" ref="AG85:AI85" si="744">AVERAGE(AF85:AF86)</f>
        <v>1.866E-3</v>
      </c>
      <c r="AH85" s="52">
        <v>125.99999999999986</v>
      </c>
      <c r="AI85" s="89">
        <f t="shared" si="744"/>
        <v>142.24999999999989</v>
      </c>
      <c r="AJ85" s="52">
        <v>388.49999999999994</v>
      </c>
      <c r="AK85" s="89">
        <f t="shared" ref="AK85" si="745">AVERAGE(AJ85:AJ86)</f>
        <v>416</v>
      </c>
      <c r="AL85" s="52">
        <v>0.11899999999999999</v>
      </c>
      <c r="AM85" s="89">
        <f t="shared" ref="AM85" si="746">AVERAGE(AL85:AL86)</f>
        <v>0.1275</v>
      </c>
      <c r="AN85" s="89">
        <f t="shared" ref="AN85" si="747">30*AM85</f>
        <v>3.8250000000000002</v>
      </c>
      <c r="AO85" s="52">
        <v>0.311</v>
      </c>
      <c r="AP85" s="89">
        <f t="shared" ref="AP85" si="748">AVERAGE(AO85:AO86)</f>
        <v>0.32799999999999996</v>
      </c>
      <c r="AQ85" s="89">
        <f t="shared" ref="AQ85" si="749">30*AP85</f>
        <v>9.8399999999999981</v>
      </c>
      <c r="AR85" s="52">
        <v>17.073405535499401</v>
      </c>
      <c r="AS85" s="89">
        <f t="shared" ref="AS85" si="750">AVERAGE(AR85:AR86)</f>
        <v>17.283995186522265</v>
      </c>
      <c r="AT85" s="52">
        <v>35.605294825511429</v>
      </c>
      <c r="AU85" s="89">
        <f t="shared" ref="AU85" si="751">AVERAGE(AT85:AT86)</f>
        <v>36.26714801444043</v>
      </c>
    </row>
    <row r="86" spans="1:47" x14ac:dyDescent="0.35">
      <c r="A86" s="88"/>
      <c r="B86" s="52">
        <v>-6.6083999999999996</v>
      </c>
      <c r="C86" s="89"/>
      <c r="D86" s="52">
        <v>-16.094000000000001</v>
      </c>
      <c r="E86" s="89"/>
      <c r="F86" s="52">
        <v>11.038</v>
      </c>
      <c r="G86" s="89"/>
      <c r="H86" s="52">
        <v>7.5846999999999998</v>
      </c>
      <c r="I86" s="89"/>
      <c r="J86" s="52" t="s">
        <v>3</v>
      </c>
      <c r="K86" s="89"/>
      <c r="L86" s="89"/>
      <c r="M86" s="52" t="s">
        <v>3</v>
      </c>
      <c r="N86" s="89"/>
      <c r="O86" s="89"/>
      <c r="P86" s="52">
        <v>-1.5890000000000001E-2</v>
      </c>
      <c r="Q86" s="89"/>
      <c r="R86" s="52">
        <v>-1.2200000000000001E-2</v>
      </c>
      <c r="S86" s="89"/>
      <c r="T86" s="52">
        <v>6.7820999999999998</v>
      </c>
      <c r="U86" s="89"/>
      <c r="V86" s="52">
        <v>28.225999999999999</v>
      </c>
      <c r="W86" s="89"/>
      <c r="X86" s="52">
        <v>-13.185</v>
      </c>
      <c r="Y86" s="89"/>
      <c r="Z86" s="89"/>
      <c r="AA86" s="52">
        <v>-24.274000000000001</v>
      </c>
      <c r="AB86" s="89"/>
      <c r="AC86" s="89"/>
      <c r="AD86" s="52">
        <v>3.4740000000000001E-3</v>
      </c>
      <c r="AE86" s="89"/>
      <c r="AF86" s="52">
        <v>2.3420000000000003E-3</v>
      </c>
      <c r="AG86" s="89"/>
      <c r="AH86" s="52">
        <v>158.49999999999989</v>
      </c>
      <c r="AI86" s="89"/>
      <c r="AJ86" s="52">
        <v>443.5</v>
      </c>
      <c r="AK86" s="89"/>
      <c r="AL86" s="52">
        <v>0.13600000000000001</v>
      </c>
      <c r="AM86" s="89"/>
      <c r="AN86" s="89"/>
      <c r="AO86" s="52">
        <v>0.34499999999999997</v>
      </c>
      <c r="AP86" s="89"/>
      <c r="AQ86" s="89"/>
      <c r="AR86" s="52">
        <v>17.49458483754513</v>
      </c>
      <c r="AS86" s="89"/>
      <c r="AT86" s="52">
        <v>36.929001203369431</v>
      </c>
      <c r="AU86" s="89"/>
    </row>
    <row r="87" spans="1:47" x14ac:dyDescent="0.35">
      <c r="A87" s="88">
        <v>43</v>
      </c>
      <c r="B87" s="52">
        <v>-6.3348000000000004</v>
      </c>
      <c r="C87" s="89">
        <f t="shared" ref="C87" si="752">AVERAGE(B87:B88)</f>
        <v>-6.7548000000000004</v>
      </c>
      <c r="D87" s="52">
        <v>-16.117999999999999</v>
      </c>
      <c r="E87" s="89">
        <f t="shared" ref="E87" si="753">AVERAGE(D87:D88)</f>
        <v>-15.453999999999999</v>
      </c>
      <c r="F87" s="52" t="s">
        <v>3</v>
      </c>
      <c r="G87" s="89">
        <f t="shared" ref="G87" si="754">AVERAGE(F87:F88)</f>
        <v>8.4954000000000001</v>
      </c>
      <c r="H87" s="52">
        <v>6.8811</v>
      </c>
      <c r="I87" s="89">
        <f t="shared" ref="I87" si="755">AVERAGE(H87:H88)</f>
        <v>6.4076000000000004</v>
      </c>
      <c r="J87" s="52">
        <v>-7.1239999999999998E-2</v>
      </c>
      <c r="K87" s="89">
        <f t="shared" ref="K87:N87" si="756">AVERAGE(J87:J88)</f>
        <v>-7.1239999999999998E-2</v>
      </c>
      <c r="L87" s="89">
        <f>K87-'Hoja en sucio'!$W$117</f>
        <v>1.7902857142857165E-2</v>
      </c>
      <c r="M87" s="52">
        <v>-7.0290000000000005E-2</v>
      </c>
      <c r="N87" s="89">
        <f t="shared" si="756"/>
        <v>-7.0290000000000005E-2</v>
      </c>
      <c r="O87" s="89">
        <f>N87-'Hoja en sucio'!$W$117</f>
        <v>1.8852857142857157E-2</v>
      </c>
      <c r="P87" s="52">
        <v>-3.3840000000000002E-2</v>
      </c>
      <c r="Q87" s="89">
        <f t="shared" ref="Q87:S87" si="757">AVERAGE(P87:P88)</f>
        <v>-3.3055000000000001E-2</v>
      </c>
      <c r="R87" s="52">
        <v>-2.215E-2</v>
      </c>
      <c r="S87" s="89">
        <f t="shared" si="757"/>
        <v>-1.8384999999999999E-2</v>
      </c>
      <c r="T87" s="52">
        <v>12.868</v>
      </c>
      <c r="U87" s="89">
        <f t="shared" ref="U87" si="758">AVERAGE(T87:T88)</f>
        <v>14.685500000000001</v>
      </c>
      <c r="V87" s="52">
        <v>24.568999999999999</v>
      </c>
      <c r="W87" s="89">
        <f t="shared" ref="W87" si="759">AVERAGE(V87:V88)</f>
        <v>26.488</v>
      </c>
      <c r="X87" s="52">
        <v>-20.166</v>
      </c>
      <c r="Y87" s="89">
        <f t="shared" ref="Y87" si="760">AVERAGE(X87:X88)</f>
        <v>-20.09</v>
      </c>
      <c r="Z87" s="89">
        <f>Y87-'Hoja en sucio'!$G$114</f>
        <v>-9.0247500000000009</v>
      </c>
      <c r="AA87" s="52">
        <v>-33.677</v>
      </c>
      <c r="AB87" s="89">
        <f t="shared" ref="AB87" si="761">AVERAGE(AA87:AA88)</f>
        <v>-34.361499999999999</v>
      </c>
      <c r="AC87" s="89">
        <f>AB87-'Hoja en sucio'!$H$114</f>
        <v>-23.296250000000001</v>
      </c>
      <c r="AD87" s="52">
        <v>1.2449999999999999E-2</v>
      </c>
      <c r="AE87" s="89">
        <f t="shared" ref="AE87" si="762">AVERAGE(AD87:AD88)</f>
        <v>1.2449999999999999E-2</v>
      </c>
      <c r="AF87" s="52">
        <v>2.053E-2</v>
      </c>
      <c r="AG87" s="89">
        <f>AVERAGE(AF87:AF87)</f>
        <v>2.053E-2</v>
      </c>
      <c r="AH87" s="52">
        <v>405.99999999999994</v>
      </c>
      <c r="AI87" s="89">
        <f t="shared" ref="AI87" si="763">AVERAGE(AH87:AH88)</f>
        <v>412.24999999999994</v>
      </c>
      <c r="AJ87" s="52">
        <v>578.5</v>
      </c>
      <c r="AK87" s="89">
        <f t="shared" ref="AK87" si="764">AVERAGE(AJ87:AJ88)</f>
        <v>592.25</v>
      </c>
      <c r="AL87" s="52">
        <v>0.27300000000000002</v>
      </c>
      <c r="AM87" s="89">
        <f t="shared" ref="AM87" si="765">AVERAGE(AL87:AL88)</f>
        <v>0.27749999999999997</v>
      </c>
      <c r="AN87" s="89">
        <f t="shared" ref="AN87" si="766">30*AM87</f>
        <v>8.3249999999999993</v>
      </c>
      <c r="AO87" s="52">
        <v>0.40699999999999997</v>
      </c>
      <c r="AP87" s="89">
        <f t="shared" ref="AP87" si="767">AVERAGE(AO87:AO88)</f>
        <v>0.41249999999999998</v>
      </c>
      <c r="AQ87" s="89">
        <f t="shared" ref="AQ87" si="768">30*AP87</f>
        <v>12.375</v>
      </c>
      <c r="AR87" s="52">
        <v>28.445246690734056</v>
      </c>
      <c r="AS87" s="89">
        <f t="shared" ref="AS87" si="769">AVERAGE(AR87:AR88)</f>
        <v>29.257521058965104</v>
      </c>
      <c r="AT87" s="52">
        <v>47.638989169675085</v>
      </c>
      <c r="AU87" s="89">
        <f t="shared" ref="AU87" si="770">AVERAGE(AT87:AT88)</f>
        <v>47.097472924187727</v>
      </c>
    </row>
    <row r="88" spans="1:47" x14ac:dyDescent="0.35">
      <c r="A88" s="88"/>
      <c r="B88" s="52">
        <v>-7.1748000000000003</v>
      </c>
      <c r="C88" s="89"/>
      <c r="D88" s="52">
        <v>-14.79</v>
      </c>
      <c r="E88" s="89"/>
      <c r="F88" s="52">
        <v>8.4954000000000001</v>
      </c>
      <c r="G88" s="89"/>
      <c r="H88" s="52">
        <v>5.9340999999999999</v>
      </c>
      <c r="I88" s="89"/>
      <c r="J88" s="52" t="s">
        <v>3</v>
      </c>
      <c r="K88" s="89"/>
      <c r="L88" s="89"/>
      <c r="M88" s="52" t="s">
        <v>3</v>
      </c>
      <c r="N88" s="89"/>
      <c r="O88" s="89"/>
      <c r="P88" s="52">
        <v>-3.227E-2</v>
      </c>
      <c r="Q88" s="89"/>
      <c r="R88" s="52">
        <v>-1.4619999999999999E-2</v>
      </c>
      <c r="S88" s="89"/>
      <c r="T88" s="52">
        <v>16.503</v>
      </c>
      <c r="U88" s="89"/>
      <c r="V88" s="52">
        <v>28.407</v>
      </c>
      <c r="W88" s="89"/>
      <c r="X88" s="52">
        <v>-20.013999999999999</v>
      </c>
      <c r="Y88" s="89"/>
      <c r="Z88" s="89"/>
      <c r="AA88" s="52">
        <v>-35.045999999999999</v>
      </c>
      <c r="AB88" s="89"/>
      <c r="AC88" s="89"/>
      <c r="AD88" s="52"/>
      <c r="AE88" s="89"/>
      <c r="AF88" s="75">
        <v>4.7660000000000003E-3</v>
      </c>
      <c r="AG88" s="89"/>
      <c r="AH88" s="52">
        <v>418.49999999999994</v>
      </c>
      <c r="AI88" s="89"/>
      <c r="AJ88" s="52">
        <v>605.99999999999989</v>
      </c>
      <c r="AK88" s="89"/>
      <c r="AL88" s="52">
        <v>0.28199999999999997</v>
      </c>
      <c r="AM88" s="89"/>
      <c r="AN88" s="89"/>
      <c r="AO88" s="52">
        <v>0.41799999999999998</v>
      </c>
      <c r="AP88" s="89"/>
      <c r="AQ88" s="89"/>
      <c r="AR88" s="52">
        <v>30.069795427196151</v>
      </c>
      <c r="AS88" s="89"/>
      <c r="AT88" s="52">
        <v>46.555956678700362</v>
      </c>
      <c r="AU88" s="89"/>
    </row>
    <row r="89" spans="1:47" x14ac:dyDescent="0.35">
      <c r="A89" s="88">
        <v>44</v>
      </c>
      <c r="B89" s="52">
        <v>-3.911</v>
      </c>
      <c r="C89" s="89">
        <f t="shared" ref="C89" si="771">AVERAGE(B89:B90)</f>
        <v>-4.6798000000000002</v>
      </c>
      <c r="D89" s="52">
        <v>-15.712999999999999</v>
      </c>
      <c r="E89" s="89">
        <f t="shared" ref="E89" si="772">AVERAGE(D89:D90)</f>
        <v>-14.881499999999999</v>
      </c>
      <c r="F89" s="52">
        <v>9.6083999999999996</v>
      </c>
      <c r="G89" s="89">
        <f t="shared" ref="G89" si="773">AVERAGE(F89:F90)</f>
        <v>9.8391999999999999</v>
      </c>
      <c r="H89" s="52">
        <v>6.7455999999999996</v>
      </c>
      <c r="I89" s="89">
        <f t="shared" ref="I89" si="774">AVERAGE(H89:H90)</f>
        <v>6.1978</v>
      </c>
      <c r="J89" s="52">
        <v>-8.3199999999999996E-2</v>
      </c>
      <c r="K89" s="89">
        <f t="shared" ref="K89:N89" si="775">AVERAGE(J89:J90)</f>
        <v>-8.3199999999999996E-2</v>
      </c>
      <c r="L89" s="89">
        <f>K89-'Hoja en sucio'!$W$117</f>
        <v>5.9428571428571664E-3</v>
      </c>
      <c r="M89" s="52">
        <v>-9.2869999999999994E-2</v>
      </c>
      <c r="N89" s="89">
        <f t="shared" si="775"/>
        <v>-9.2869999999999994E-2</v>
      </c>
      <c r="O89" s="89">
        <f>N89-'Hoja en sucio'!$W$117</f>
        <v>-3.7271428571428317E-3</v>
      </c>
      <c r="P89" s="52">
        <v>-2.2859999999999998E-2</v>
      </c>
      <c r="Q89" s="89">
        <f t="shared" ref="Q89:S89" si="776">AVERAGE(P89:P90)</f>
        <v>-2.1944999999999999E-2</v>
      </c>
      <c r="R89" s="52">
        <v>-3.4300000000000003E-3</v>
      </c>
      <c r="S89" s="89">
        <f t="shared" si="776"/>
        <v>-3.9900000000000005E-3</v>
      </c>
      <c r="T89" s="52">
        <v>6.7385000000000002</v>
      </c>
      <c r="U89" s="89">
        <f t="shared" ref="U89" si="777">AVERAGE(T89:T90)</f>
        <v>6.96265</v>
      </c>
      <c r="V89" s="52">
        <v>16.728999999999999</v>
      </c>
      <c r="W89" s="89">
        <f t="shared" ref="W89" si="778">AVERAGE(V89:V90)</f>
        <v>17.859000000000002</v>
      </c>
      <c r="X89" s="52">
        <v>-14.465</v>
      </c>
      <c r="Y89" s="89">
        <f t="shared" ref="Y89" si="779">AVERAGE(X89:X90)</f>
        <v>-14.333</v>
      </c>
      <c r="Z89" s="89">
        <f>Y89-'Hoja en sucio'!$G$114</f>
        <v>-3.2677500000000013</v>
      </c>
      <c r="AA89" s="52">
        <v>-31.292999999999999</v>
      </c>
      <c r="AB89" s="89">
        <f t="shared" ref="AB89" si="780">AVERAGE(AA89:AA90)</f>
        <v>-32.5105</v>
      </c>
      <c r="AC89" s="89">
        <f>AB89-'Hoja en sucio'!$H$114</f>
        <v>-21.445250000000001</v>
      </c>
      <c r="AD89" s="52">
        <v>1.5789999999999999E-3</v>
      </c>
      <c r="AE89" s="89">
        <f t="shared" ref="AE89" si="781">AVERAGE(AD89:AD90)</f>
        <v>1.72E-3</v>
      </c>
      <c r="AF89" s="52">
        <v>4.0049999999999999E-3</v>
      </c>
      <c r="AG89" s="89">
        <f t="shared" ref="AG89:AI89" si="782">AVERAGE(AF89:AF90)</f>
        <v>8.2974999999999993E-3</v>
      </c>
      <c r="AH89" s="52">
        <v>273.5</v>
      </c>
      <c r="AI89" s="89">
        <f t="shared" si="782"/>
        <v>215.99999999999994</v>
      </c>
      <c r="AJ89" s="52">
        <v>726</v>
      </c>
      <c r="AK89" s="89">
        <f t="shared" ref="AK89" si="783">AVERAGE(AJ89:AJ90)</f>
        <v>668.5</v>
      </c>
      <c r="AL89" s="52">
        <v>0.189</v>
      </c>
      <c r="AM89" s="89">
        <f t="shared" ref="AM89" si="784">AVERAGE(AL89:AL90)</f>
        <v>0.19550000000000001</v>
      </c>
      <c r="AN89" s="89">
        <f t="shared" ref="AN89" si="785">30*AM89</f>
        <v>5.8650000000000002</v>
      </c>
      <c r="AO89" s="52">
        <v>0.27900000000000003</v>
      </c>
      <c r="AP89" s="89">
        <f t="shared" ref="AP89" si="786">AVERAGE(AO89:AO90)</f>
        <v>0.28300000000000003</v>
      </c>
      <c r="AQ89" s="89">
        <f t="shared" ref="AQ89" si="787">30*AP89</f>
        <v>8.49</v>
      </c>
      <c r="AR89" s="52">
        <v>23.511432009626954</v>
      </c>
      <c r="AS89" s="89">
        <f t="shared" ref="AS89" si="788">AVERAGE(AR89:AR90)</f>
        <v>24.05294825511432</v>
      </c>
      <c r="AT89" s="52">
        <v>62.801444043321304</v>
      </c>
      <c r="AU89" s="89">
        <f t="shared" ref="AU89" si="789">AVERAGE(AT89:AT90)</f>
        <v>63.373044524669083</v>
      </c>
    </row>
    <row r="90" spans="1:47" x14ac:dyDescent="0.35">
      <c r="A90" s="88"/>
      <c r="B90" s="52">
        <v>-5.4485999999999999</v>
      </c>
      <c r="C90" s="89"/>
      <c r="D90" s="52">
        <v>-14.05</v>
      </c>
      <c r="E90" s="89"/>
      <c r="F90" s="52">
        <v>10.07</v>
      </c>
      <c r="G90" s="89"/>
      <c r="H90" s="52">
        <v>5.65</v>
      </c>
      <c r="I90" s="89"/>
      <c r="J90" s="52" t="s">
        <v>3</v>
      </c>
      <c r="K90" s="89"/>
      <c r="L90" s="89"/>
      <c r="M90" s="52" t="s">
        <v>3</v>
      </c>
      <c r="N90" s="89"/>
      <c r="O90" s="89"/>
      <c r="P90" s="52">
        <v>-2.103E-2</v>
      </c>
      <c r="Q90" s="89"/>
      <c r="R90" s="52">
        <v>-4.5500000000000002E-3</v>
      </c>
      <c r="S90" s="89"/>
      <c r="T90" s="52">
        <v>7.1867999999999999</v>
      </c>
      <c r="U90" s="89"/>
      <c r="V90" s="52">
        <v>18.989000000000001</v>
      </c>
      <c r="W90" s="89"/>
      <c r="X90" s="52">
        <v>-14.201000000000001</v>
      </c>
      <c r="Y90" s="89"/>
      <c r="Z90" s="89"/>
      <c r="AA90" s="52">
        <v>-33.728000000000002</v>
      </c>
      <c r="AB90" s="89"/>
      <c r="AC90" s="89"/>
      <c r="AD90" s="52">
        <v>1.861E-3</v>
      </c>
      <c r="AE90" s="89"/>
      <c r="AF90" s="52">
        <v>1.259E-2</v>
      </c>
      <c r="AG90" s="89"/>
      <c r="AH90" s="52">
        <v>158.49999999999989</v>
      </c>
      <c r="AI90" s="89"/>
      <c r="AJ90" s="52">
        <v>610.99999999999989</v>
      </c>
      <c r="AK90" s="89"/>
      <c r="AL90" s="52">
        <v>0.20200000000000001</v>
      </c>
      <c r="AM90" s="89"/>
      <c r="AN90" s="89"/>
      <c r="AO90" s="52">
        <v>0.28699999999999998</v>
      </c>
      <c r="AP90" s="89"/>
      <c r="AQ90" s="89"/>
      <c r="AR90" s="52">
        <v>24.594464500601685</v>
      </c>
      <c r="AS90" s="89"/>
      <c r="AT90" s="52">
        <v>63.944645006016856</v>
      </c>
      <c r="AU90" s="89"/>
    </row>
    <row r="91" spans="1:47" x14ac:dyDescent="0.35">
      <c r="A91" s="88">
        <v>45</v>
      </c>
      <c r="B91" s="52">
        <v>-3.8574999999999999</v>
      </c>
      <c r="C91" s="89">
        <f t="shared" ref="C91" si="790">AVERAGE(B91:B92)</f>
        <v>-4.3429500000000001</v>
      </c>
      <c r="D91" s="52">
        <v>-16.065999999999999</v>
      </c>
      <c r="E91" s="89">
        <f t="shared" ref="E91" si="791">AVERAGE(D91:D92)</f>
        <v>-15.576999999999998</v>
      </c>
      <c r="F91" s="52">
        <v>7.3845999999999998</v>
      </c>
      <c r="G91" s="89">
        <f t="shared" ref="G91" si="792">AVERAGE(F91:F92)</f>
        <v>7.9146000000000001</v>
      </c>
      <c r="H91" s="52">
        <v>8.2367000000000008</v>
      </c>
      <c r="I91" s="89">
        <f t="shared" ref="I91" si="793">AVERAGE(H91:H92)</f>
        <v>8.5239499999999992</v>
      </c>
      <c r="J91" s="52">
        <v>-7.2139999999999996E-2</v>
      </c>
      <c r="K91" s="89">
        <f t="shared" ref="K91:N91" si="794">AVERAGE(J91:J92)</f>
        <v>-7.2139999999999996E-2</v>
      </c>
      <c r="L91" s="89">
        <f>K91-'Hoja en sucio'!$W$117</f>
        <v>1.7002857142857167E-2</v>
      </c>
      <c r="M91" s="52">
        <v>-0.10009999999999999</v>
      </c>
      <c r="N91" s="89">
        <f t="shared" si="794"/>
        <v>-0.10009999999999999</v>
      </c>
      <c r="O91" s="89">
        <f>N91-'Hoja en sucio'!$W$117</f>
        <v>-1.0957142857142832E-2</v>
      </c>
      <c r="P91" s="52">
        <v>-2.5360000000000001E-2</v>
      </c>
      <c r="Q91" s="89">
        <f t="shared" ref="Q91:S91" si="795">AVERAGE(P91:P92)</f>
        <v>-2.5555000000000001E-2</v>
      </c>
      <c r="R91" s="52">
        <v>-1.321E-2</v>
      </c>
      <c r="S91" s="89">
        <f t="shared" si="795"/>
        <v>-1.32E-2</v>
      </c>
      <c r="T91" s="52">
        <v>9.7447999999999997</v>
      </c>
      <c r="U91" s="89">
        <f t="shared" ref="U91" si="796">AVERAGE(T91:T92)</f>
        <v>10.367899999999999</v>
      </c>
      <c r="V91" s="52">
        <v>20.954000000000001</v>
      </c>
      <c r="W91" s="89">
        <f t="shared" ref="W91" si="797">AVERAGE(V91:V92)</f>
        <v>24.141999999999999</v>
      </c>
      <c r="X91" s="52">
        <v>-15.256</v>
      </c>
      <c r="Y91" s="89">
        <f t="shared" ref="Y91" si="798">AVERAGE(X91:X92)</f>
        <v>-14.9985</v>
      </c>
      <c r="Z91" s="89">
        <f>Y91-'Hoja en sucio'!$G$114</f>
        <v>-3.933250000000001</v>
      </c>
      <c r="AA91" s="52">
        <v>-21.931000000000001</v>
      </c>
      <c r="AB91" s="89">
        <f t="shared" ref="AB91" si="799">AVERAGE(AA91:AA92)</f>
        <v>-22.149000000000001</v>
      </c>
      <c r="AC91" s="89">
        <f>AB91-'Hoja en sucio'!$H$114</f>
        <v>-11.083750000000002</v>
      </c>
      <c r="AD91" s="52">
        <v>3.4910000000000002E-3</v>
      </c>
      <c r="AE91" s="89">
        <f t="shared" ref="AE91" si="800">AVERAGE(AD91:AD92)</f>
        <v>2.8435000000000001E-3</v>
      </c>
      <c r="AF91" s="75">
        <v>7.4870000000000004E-4</v>
      </c>
      <c r="AG91" s="89">
        <f>AVERAGE(AF92:AF92)</f>
        <v>9.0000000000000011E-3</v>
      </c>
      <c r="AH91" s="52">
        <v>540.99999999999989</v>
      </c>
      <c r="AI91" s="89">
        <f t="shared" ref="AI91" si="801">AVERAGE(AH91:AH92)</f>
        <v>558.5</v>
      </c>
      <c r="AJ91" s="52">
        <v>615.99999999999989</v>
      </c>
      <c r="AK91" s="89">
        <f t="shared" ref="AK91" si="802">AVERAGE(AJ91:AJ92)</f>
        <v>597.24999999999977</v>
      </c>
      <c r="AL91" s="52">
        <v>0.2</v>
      </c>
      <c r="AM91" s="89">
        <f t="shared" ref="AM91" si="803">AVERAGE(AL91:AL92)</f>
        <v>0.21150000000000002</v>
      </c>
      <c r="AN91" s="89">
        <f t="shared" ref="AN91" si="804">30*AM91</f>
        <v>6.3450000000000006</v>
      </c>
      <c r="AO91" s="52">
        <v>0.33600000000000002</v>
      </c>
      <c r="AP91" s="89">
        <f t="shared" ref="AP91" si="805">AVERAGE(AO91:AO92)</f>
        <v>0.34699999999999998</v>
      </c>
      <c r="AQ91" s="89">
        <f t="shared" ref="AQ91" si="806">30*AP91</f>
        <v>10.41</v>
      </c>
      <c r="AR91" s="52">
        <v>25.196149217809872</v>
      </c>
      <c r="AS91" s="89">
        <f t="shared" ref="AS91" si="807">AVERAGE(AR91:AR92)</f>
        <v>25.948255114320098</v>
      </c>
      <c r="AT91" s="52">
        <v>42.344163658243076</v>
      </c>
      <c r="AU91" s="89">
        <f t="shared" ref="AU91" si="808">AVERAGE(AT91:AT92)</f>
        <v>40.719614921780988</v>
      </c>
    </row>
    <row r="92" spans="1:47" x14ac:dyDescent="0.35">
      <c r="A92" s="88"/>
      <c r="B92" s="52">
        <v>-4.8284000000000002</v>
      </c>
      <c r="C92" s="89"/>
      <c r="D92" s="52">
        <v>-15.087999999999999</v>
      </c>
      <c r="E92" s="89"/>
      <c r="F92" s="52">
        <v>8.4445999999999994</v>
      </c>
      <c r="G92" s="89"/>
      <c r="H92" s="52">
        <v>8.8111999999999995</v>
      </c>
      <c r="I92" s="89"/>
      <c r="J92" s="52" t="s">
        <v>3</v>
      </c>
      <c r="K92" s="89"/>
      <c r="L92" s="89"/>
      <c r="M92" s="52" t="s">
        <v>3</v>
      </c>
      <c r="N92" s="89"/>
      <c r="O92" s="89"/>
      <c r="P92" s="52">
        <v>-2.5749999999999999E-2</v>
      </c>
      <c r="Q92" s="89"/>
      <c r="R92" s="52">
        <v>-1.319E-2</v>
      </c>
      <c r="S92" s="89"/>
      <c r="T92" s="52">
        <v>10.991</v>
      </c>
      <c r="U92" s="89"/>
      <c r="V92" s="52">
        <v>27.33</v>
      </c>
      <c r="W92" s="89"/>
      <c r="X92" s="52">
        <v>-14.741</v>
      </c>
      <c r="Y92" s="89"/>
      <c r="Z92" s="89"/>
      <c r="AA92" s="52">
        <v>-22.367000000000001</v>
      </c>
      <c r="AB92" s="89"/>
      <c r="AC92" s="89"/>
      <c r="AD92" s="52">
        <v>2.196E-3</v>
      </c>
      <c r="AE92" s="89"/>
      <c r="AF92" s="52">
        <v>9.0000000000000011E-3</v>
      </c>
      <c r="AG92" s="89"/>
      <c r="AH92" s="52">
        <v>576</v>
      </c>
      <c r="AI92" s="89"/>
      <c r="AJ92" s="52">
        <v>578.49999999999977</v>
      </c>
      <c r="AK92" s="89"/>
      <c r="AL92" s="52">
        <v>0.223</v>
      </c>
      <c r="AM92" s="89"/>
      <c r="AN92" s="89"/>
      <c r="AO92" s="52">
        <v>0.35799999999999998</v>
      </c>
      <c r="AP92" s="89"/>
      <c r="AQ92" s="89"/>
      <c r="AR92" s="52">
        <v>26.700361010830324</v>
      </c>
      <c r="AS92" s="89"/>
      <c r="AT92" s="52">
        <v>39.095066185318892</v>
      </c>
      <c r="AU92" s="89"/>
    </row>
    <row r="93" spans="1:47" x14ac:dyDescent="0.35">
      <c r="A93" s="88">
        <v>46</v>
      </c>
      <c r="B93" s="52">
        <v>-8.1611999999999991</v>
      </c>
      <c r="C93" s="89">
        <f t="shared" ref="C93" si="809">AVERAGE(B93:B94)</f>
        <v>-7.2124499999999996</v>
      </c>
      <c r="D93" s="52">
        <v>-17.184000000000001</v>
      </c>
      <c r="E93" s="89">
        <f t="shared" ref="E93" si="810">AVERAGE(D93:D94)</f>
        <v>-16.806000000000001</v>
      </c>
      <c r="F93" s="52">
        <v>8.7601999999999993</v>
      </c>
      <c r="G93" s="89">
        <f t="shared" ref="G93" si="811">AVERAGE(F93:F94)</f>
        <v>8.805299999999999</v>
      </c>
      <c r="H93" s="52">
        <v>8.4459999999999997</v>
      </c>
      <c r="I93" s="89">
        <f t="shared" ref="I93" si="812">AVERAGE(H93:H94)</f>
        <v>8.41995</v>
      </c>
      <c r="J93" s="52">
        <v>-7.0419999999999996E-2</v>
      </c>
      <c r="K93" s="89">
        <f t="shared" ref="K93:N93" si="813">AVERAGE(J93:J94)</f>
        <v>-7.0419999999999996E-2</v>
      </c>
      <c r="L93" s="89">
        <f>K93-'Hoja en sucio'!$W$117</f>
        <v>1.8722857142857166E-2</v>
      </c>
      <c r="M93" s="52">
        <v>-0.1096</v>
      </c>
      <c r="N93" s="89">
        <f t="shared" si="813"/>
        <v>-0.1096</v>
      </c>
      <c r="O93" s="89">
        <f>N93-'Hoja en sucio'!$W$117</f>
        <v>-2.045714285714284E-2</v>
      </c>
      <c r="P93" s="52">
        <v>-2.2970000000000001E-2</v>
      </c>
      <c r="Q93" s="89">
        <f t="shared" ref="Q93:S93" si="814">AVERAGE(P93:P94)</f>
        <v>-2.5660000000000002E-2</v>
      </c>
      <c r="R93" s="52">
        <v>-2.7199999999999998E-2</v>
      </c>
      <c r="S93" s="89">
        <f t="shared" si="814"/>
        <v>-1.9799999999999998E-2</v>
      </c>
      <c r="T93" s="52">
        <v>10.811</v>
      </c>
      <c r="U93" s="89">
        <f t="shared" ref="U93" si="815">AVERAGE(T93:T94)</f>
        <v>11.132</v>
      </c>
      <c r="V93" s="52">
        <v>22.09</v>
      </c>
      <c r="W93" s="89">
        <f t="shared" ref="W93" si="816">AVERAGE(V93:V94)</f>
        <v>22.838000000000001</v>
      </c>
      <c r="X93" s="52">
        <v>-16.138999999999999</v>
      </c>
      <c r="Y93" s="89">
        <f t="shared" ref="Y93" si="817">AVERAGE(X93:X94)</f>
        <v>-15.571</v>
      </c>
      <c r="Z93" s="89">
        <f>Y93-'Hoja en sucio'!$G$114</f>
        <v>-4.5057500000000008</v>
      </c>
      <c r="AA93" s="52">
        <v>-19.018999999999998</v>
      </c>
      <c r="AB93" s="89">
        <f t="shared" ref="AB93" si="818">AVERAGE(AA93:AA94)</f>
        <v>-19.6175</v>
      </c>
      <c r="AC93" s="89">
        <f>AB93-'Hoja en sucio'!$H$114</f>
        <v>-8.5522500000000008</v>
      </c>
      <c r="AD93" s="52">
        <v>2.1989999999999999E-2</v>
      </c>
      <c r="AE93" s="89">
        <f>AVERAGE(AD93:AD93)</f>
        <v>2.1989999999999999E-2</v>
      </c>
      <c r="AF93" s="52">
        <v>1.9190000000000001E-3</v>
      </c>
      <c r="AG93" s="89">
        <f t="shared" ref="AG93:AI93" si="819">AVERAGE(AF93:AF94)</f>
        <v>3.1965000000000006E-3</v>
      </c>
      <c r="AH93" s="52">
        <v>628.49999999999989</v>
      </c>
      <c r="AI93" s="89">
        <f t="shared" si="819"/>
        <v>615.99999999999989</v>
      </c>
      <c r="AJ93" s="52">
        <v>345.99999999999989</v>
      </c>
      <c r="AK93" s="89">
        <f t="shared" ref="AK93" si="820">AVERAGE(AJ93:AJ94)</f>
        <v>337.24999999999989</v>
      </c>
      <c r="AL93" s="52">
        <v>0.24399999999999999</v>
      </c>
      <c r="AM93" s="89">
        <f t="shared" ref="AM93" si="821">AVERAGE(AL93:AL94)</f>
        <v>0.26649999999999996</v>
      </c>
      <c r="AN93" s="89">
        <f t="shared" ref="AN93" si="822">30*AM93</f>
        <v>7.9949999999999992</v>
      </c>
      <c r="AO93" s="52">
        <v>0.30399999999999999</v>
      </c>
      <c r="AP93" s="89">
        <f t="shared" ref="AP93" si="823">AVERAGE(AO93:AO94)</f>
        <v>0.30049999999999999</v>
      </c>
      <c r="AQ93" s="89">
        <f t="shared" ref="AQ93" si="824">30*AP93</f>
        <v>9.0150000000000006</v>
      </c>
      <c r="AR93" s="52">
        <v>28.685920577617331</v>
      </c>
      <c r="AS93" s="89">
        <f t="shared" ref="AS93" si="825">AVERAGE(AR93:AR94)</f>
        <v>28.445246690734059</v>
      </c>
      <c r="AT93" s="52">
        <v>44.149217809867629</v>
      </c>
      <c r="AU93" s="89">
        <f t="shared" ref="AU93" si="826">AVERAGE(AT93:AT94)</f>
        <v>42.825511432009627</v>
      </c>
    </row>
    <row r="94" spans="1:47" x14ac:dyDescent="0.35">
      <c r="A94" s="88"/>
      <c r="B94" s="52">
        <v>-6.2637</v>
      </c>
      <c r="C94" s="89"/>
      <c r="D94" s="52">
        <v>-16.428000000000001</v>
      </c>
      <c r="E94" s="89"/>
      <c r="F94" s="52">
        <v>8.8504000000000005</v>
      </c>
      <c r="G94" s="89"/>
      <c r="H94" s="52">
        <v>8.3939000000000004</v>
      </c>
      <c r="I94" s="89"/>
      <c r="J94" s="52" t="s">
        <v>3</v>
      </c>
      <c r="K94" s="89"/>
      <c r="L94" s="89"/>
      <c r="M94" s="52" t="s">
        <v>3</v>
      </c>
      <c r="N94" s="89"/>
      <c r="O94" s="89"/>
      <c r="P94" s="52">
        <v>-2.835E-2</v>
      </c>
      <c r="Q94" s="89"/>
      <c r="R94" s="52">
        <v>-1.24E-2</v>
      </c>
      <c r="S94" s="89"/>
      <c r="T94" s="52">
        <v>11.452999999999999</v>
      </c>
      <c r="U94" s="89"/>
      <c r="V94" s="52">
        <v>23.585999999999999</v>
      </c>
      <c r="W94" s="89"/>
      <c r="X94" s="52">
        <v>-15.003</v>
      </c>
      <c r="Y94" s="89"/>
      <c r="Z94" s="89"/>
      <c r="AA94" s="52">
        <v>-20.216000000000001</v>
      </c>
      <c r="AB94" s="89"/>
      <c r="AC94" s="89"/>
      <c r="AD94" s="75">
        <v>3.7890000000000003E-3</v>
      </c>
      <c r="AE94" s="89"/>
      <c r="AF94" s="52">
        <v>4.4740000000000005E-3</v>
      </c>
      <c r="AG94" s="89"/>
      <c r="AH94" s="52">
        <v>603.49999999999989</v>
      </c>
      <c r="AI94" s="89"/>
      <c r="AJ94" s="52">
        <v>328.49999999999989</v>
      </c>
      <c r="AK94" s="89"/>
      <c r="AL94" s="52">
        <v>0.28899999999999998</v>
      </c>
      <c r="AM94" s="89"/>
      <c r="AN94" s="89"/>
      <c r="AO94" s="52">
        <v>0.29699999999999999</v>
      </c>
      <c r="AP94" s="89"/>
      <c r="AQ94" s="89"/>
      <c r="AR94" s="52">
        <v>28.204572803850784</v>
      </c>
      <c r="AS94" s="89"/>
      <c r="AT94" s="52">
        <v>41.501805054151625</v>
      </c>
      <c r="AU94" s="89"/>
    </row>
    <row r="95" spans="1:47" x14ac:dyDescent="0.35">
      <c r="A95" s="88">
        <v>47</v>
      </c>
      <c r="B95" s="52">
        <v>-5.1330999999999998</v>
      </c>
      <c r="C95" s="89">
        <f t="shared" ref="C95" si="827">AVERAGE(B95:B96)</f>
        <v>-5.0702999999999996</v>
      </c>
      <c r="D95" s="52">
        <v>-16.170999999999999</v>
      </c>
      <c r="E95" s="89">
        <f t="shared" ref="E95" si="828">AVERAGE(D95:D96)</f>
        <v>-15.834499999999998</v>
      </c>
      <c r="F95" s="52">
        <v>8.6475000000000009</v>
      </c>
      <c r="G95" s="89">
        <f t="shared" ref="G95" si="829">AVERAGE(F95:F96)</f>
        <v>8.9260000000000002</v>
      </c>
      <c r="H95" s="52">
        <v>7.6078000000000001</v>
      </c>
      <c r="I95" s="89">
        <f t="shared" ref="I95" si="830">AVERAGE(H95:H96)</f>
        <v>7.8512500000000003</v>
      </c>
      <c r="J95" s="52">
        <v>-9.0300000000000005E-2</v>
      </c>
      <c r="K95" s="89">
        <f t="shared" ref="K95:N95" si="831">AVERAGE(J95:J96)</f>
        <v>-9.0300000000000005E-2</v>
      </c>
      <c r="L95" s="89">
        <f>K95-'Hoja en sucio'!$W$117</f>
        <v>-1.1571428571428427E-3</v>
      </c>
      <c r="M95" s="52">
        <v>-0.10979999999999999</v>
      </c>
      <c r="N95" s="89">
        <f t="shared" si="831"/>
        <v>-0.10979999999999999</v>
      </c>
      <c r="O95" s="89">
        <f>N95-'Hoja en sucio'!$W$117</f>
        <v>-2.0657142857142832E-2</v>
      </c>
      <c r="P95" s="52">
        <v>-2.2870000000000001E-2</v>
      </c>
      <c r="Q95" s="89">
        <f t="shared" ref="Q95:S95" si="832">AVERAGE(P95:P96)</f>
        <v>-2.3895E-2</v>
      </c>
      <c r="R95" s="52">
        <v>-1.1270000000000001E-2</v>
      </c>
      <c r="S95" s="89">
        <f t="shared" si="832"/>
        <v>-1.0145000000000001E-2</v>
      </c>
      <c r="T95" s="52">
        <v>10.582000000000001</v>
      </c>
      <c r="U95" s="89">
        <f t="shared" ref="U95" si="833">AVERAGE(T95:T96)</f>
        <v>11.6905</v>
      </c>
      <c r="V95" s="52">
        <v>29.187999999999999</v>
      </c>
      <c r="W95" s="89">
        <f t="shared" ref="W95" si="834">AVERAGE(V95:V96)</f>
        <v>29.515000000000001</v>
      </c>
      <c r="X95" s="52">
        <v>-17.63</v>
      </c>
      <c r="Y95" s="89">
        <f t="shared" ref="Y95" si="835">AVERAGE(X95:X96)</f>
        <v>-17.5185</v>
      </c>
      <c r="Z95" s="89">
        <f>Y95-'Hoja en sucio'!$G$114</f>
        <v>-6.4532500000000006</v>
      </c>
      <c r="AA95" s="52">
        <v>-23.3</v>
      </c>
      <c r="AB95" s="89">
        <f t="shared" ref="AB95" si="836">AVERAGE(AA95:AA96)</f>
        <v>-24.035499999999999</v>
      </c>
      <c r="AC95" s="89">
        <f>AB95-'Hoja en sucio'!$H$114</f>
        <v>-12.97025</v>
      </c>
      <c r="AD95" s="52">
        <v>1.714E-3</v>
      </c>
      <c r="AE95" s="89">
        <f t="shared" ref="AE95" si="837">AVERAGE(AD95:AD96)</f>
        <v>1.5150000000000001E-3</v>
      </c>
      <c r="AF95" s="52">
        <v>3.751E-3</v>
      </c>
      <c r="AG95" s="89">
        <f t="shared" ref="AG95:AI95" si="838">AVERAGE(AF95:AF96)</f>
        <v>3.496E-3</v>
      </c>
      <c r="AH95" s="52">
        <v>178.49999999999989</v>
      </c>
      <c r="AI95" s="89">
        <f t="shared" si="838"/>
        <v>188.49999999999989</v>
      </c>
      <c r="AJ95" s="52">
        <v>423.49999999999994</v>
      </c>
      <c r="AK95" s="89">
        <f t="shared" ref="AK95" si="839">AVERAGE(AJ95:AJ96)</f>
        <v>462.24999999999989</v>
      </c>
      <c r="AL95" s="52">
        <v>0.191</v>
      </c>
      <c r="AM95" s="89">
        <f t="shared" ref="AM95" si="840">AVERAGE(AL95:AL96)</f>
        <v>0.20200000000000001</v>
      </c>
      <c r="AN95" s="89">
        <f t="shared" ref="AN95" si="841">30*AM95</f>
        <v>6.0600000000000005</v>
      </c>
      <c r="AO95" s="52">
        <v>0.23499999999999999</v>
      </c>
      <c r="AP95" s="89">
        <f t="shared" ref="AP95" si="842">AVERAGE(AO95:AO96)</f>
        <v>0.24199999999999999</v>
      </c>
      <c r="AQ95" s="89">
        <f t="shared" ref="AQ95" si="843">30*AP95</f>
        <v>7.26</v>
      </c>
      <c r="AR95" s="52">
        <v>24.594464500601685</v>
      </c>
      <c r="AS95" s="89">
        <f t="shared" ref="AS95" si="844">AVERAGE(AR95:AR96)</f>
        <v>22.488567990373046</v>
      </c>
      <c r="AT95" s="52">
        <v>26.339350180505416</v>
      </c>
      <c r="AU95" s="89">
        <f t="shared" ref="AU95" si="845">AVERAGE(AT95:AT96)</f>
        <v>27.693140794223829</v>
      </c>
    </row>
    <row r="96" spans="1:47" x14ac:dyDescent="0.35">
      <c r="A96" s="88"/>
      <c r="B96" s="52">
        <v>-5.0075000000000003</v>
      </c>
      <c r="C96" s="89"/>
      <c r="D96" s="52">
        <v>-15.497999999999999</v>
      </c>
      <c r="E96" s="89"/>
      <c r="F96" s="52">
        <v>9.2044999999999995</v>
      </c>
      <c r="G96" s="89"/>
      <c r="H96" s="52">
        <v>8.0946999999999996</v>
      </c>
      <c r="I96" s="89"/>
      <c r="J96" s="52" t="s">
        <v>3</v>
      </c>
      <c r="K96" s="89"/>
      <c r="L96" s="89"/>
      <c r="M96" s="52" t="s">
        <v>3</v>
      </c>
      <c r="N96" s="89"/>
      <c r="O96" s="89"/>
      <c r="P96" s="52">
        <v>-2.4920000000000001E-2</v>
      </c>
      <c r="Q96" s="89"/>
      <c r="R96" s="52">
        <v>-9.0200000000000002E-3</v>
      </c>
      <c r="S96" s="89"/>
      <c r="T96" s="52">
        <v>12.798999999999999</v>
      </c>
      <c r="U96" s="89"/>
      <c r="V96" s="52">
        <v>29.841999999999999</v>
      </c>
      <c r="W96" s="89"/>
      <c r="X96" s="52">
        <v>-17.407</v>
      </c>
      <c r="Y96" s="89"/>
      <c r="Z96" s="89"/>
      <c r="AA96" s="52">
        <v>-24.771000000000001</v>
      </c>
      <c r="AB96" s="89"/>
      <c r="AC96" s="89"/>
      <c r="AD96" s="52">
        <v>1.3160000000000001E-3</v>
      </c>
      <c r="AE96" s="89"/>
      <c r="AF96" s="52">
        <v>3.241E-3</v>
      </c>
      <c r="AG96" s="89"/>
      <c r="AH96" s="52">
        <v>198.49999999999991</v>
      </c>
      <c r="AI96" s="89"/>
      <c r="AJ96" s="52">
        <v>500.99999999999989</v>
      </c>
      <c r="AK96" s="89"/>
      <c r="AL96" s="52">
        <v>0.21299999999999999</v>
      </c>
      <c r="AM96" s="89"/>
      <c r="AN96" s="89"/>
      <c r="AO96" s="52">
        <v>0.249</v>
      </c>
      <c r="AP96" s="89"/>
      <c r="AQ96" s="89"/>
      <c r="AR96" s="52">
        <v>20.382671480144406</v>
      </c>
      <c r="AS96" s="89"/>
      <c r="AT96" s="52">
        <v>29.046931407942242</v>
      </c>
      <c r="AU96" s="89"/>
    </row>
    <row r="97" spans="1:47" x14ac:dyDescent="0.35">
      <c r="A97" s="88">
        <v>48</v>
      </c>
      <c r="B97" s="52">
        <v>-1.7195</v>
      </c>
      <c r="C97" s="89">
        <f t="shared" ref="C97" si="846">AVERAGE(B97:B98)</f>
        <v>-3.63035</v>
      </c>
      <c r="D97" s="52">
        <v>-16.247</v>
      </c>
      <c r="E97" s="89">
        <f t="shared" ref="E97" si="847">AVERAGE(D97:D98)</f>
        <v>-16.644500000000001</v>
      </c>
      <c r="F97" s="52">
        <v>9.7683999999999997</v>
      </c>
      <c r="G97" s="89">
        <f t="shared" ref="G97" si="848">AVERAGE(F97:F98)</f>
        <v>10.702199999999999</v>
      </c>
      <c r="H97" s="52">
        <v>8.8530999999999995</v>
      </c>
      <c r="I97" s="89">
        <f t="shared" ref="I97" si="849">AVERAGE(H97:H98)</f>
        <v>8.7528499999999987</v>
      </c>
      <c r="J97" s="52">
        <v>-0.14599999999999999</v>
      </c>
      <c r="K97" s="89">
        <f t="shared" ref="K97:N97" si="850">AVERAGE(J97:J98)</f>
        <v>-0.14599999999999999</v>
      </c>
      <c r="L97" s="89">
        <f>K97-'Hoja en sucio'!$W$117</f>
        <v>-5.6857142857142828E-2</v>
      </c>
      <c r="M97" s="52">
        <v>-0.106</v>
      </c>
      <c r="N97" s="89">
        <f t="shared" si="850"/>
        <v>-0.106</v>
      </c>
      <c r="O97" s="89">
        <f>N97-'Hoja en sucio'!$W$117</f>
        <v>-1.6857142857142834E-2</v>
      </c>
      <c r="P97" s="52">
        <v>-2.3429999999999999E-2</v>
      </c>
      <c r="Q97" s="89">
        <f t="shared" ref="Q97:S97" si="851">AVERAGE(P97:P98)</f>
        <v>-2.3349999999999999E-2</v>
      </c>
      <c r="R97" s="52">
        <v>-2.4709999999999999E-2</v>
      </c>
      <c r="S97" s="89">
        <f t="shared" si="851"/>
        <v>-1.7375000000000002E-2</v>
      </c>
      <c r="T97" s="52">
        <v>10.688000000000001</v>
      </c>
      <c r="U97" s="89">
        <f t="shared" ref="U97" si="852">AVERAGE(T97:T98)</f>
        <v>10.580500000000001</v>
      </c>
      <c r="V97" s="52">
        <v>31.712</v>
      </c>
      <c r="W97" s="89">
        <f t="shared" ref="W97" si="853">AVERAGE(V97:V98)</f>
        <v>32.151000000000003</v>
      </c>
      <c r="X97" s="52">
        <v>-15.439</v>
      </c>
      <c r="Y97" s="89">
        <f t="shared" ref="Y97" si="854">AVERAGE(X97:X98)</f>
        <v>-15.5375</v>
      </c>
      <c r="Z97" s="89">
        <f>Y97-'Hoja en sucio'!$G$114</f>
        <v>-4.4722500000000007</v>
      </c>
      <c r="AA97" s="52">
        <v>-22.498999999999999</v>
      </c>
      <c r="AB97" s="89">
        <f t="shared" ref="AB97" si="855">AVERAGE(AA97:AA98)</f>
        <v>-25.3795</v>
      </c>
      <c r="AC97" s="89">
        <f>AB97-'Hoja en sucio'!$H$114</f>
        <v>-14.314250000000001</v>
      </c>
      <c r="AD97" s="52">
        <v>1.1050000000000001E-2</v>
      </c>
      <c r="AE97" s="89">
        <f t="shared" ref="AE97" si="856">AVERAGE(AD97:AD98)</f>
        <v>7.8935000000000012E-3</v>
      </c>
      <c r="AF97" s="52">
        <v>2.2109999999999999E-3</v>
      </c>
      <c r="AG97" s="89">
        <f t="shared" ref="AG97:AI97" si="857">AVERAGE(AF97:AF98)</f>
        <v>2.4935000000000001E-3</v>
      </c>
      <c r="AH97" s="52">
        <v>323.49999999999989</v>
      </c>
      <c r="AI97" s="89">
        <f t="shared" si="857"/>
        <v>362.24999999999989</v>
      </c>
      <c r="AJ97" s="52">
        <v>565.99999999999977</v>
      </c>
      <c r="AK97" s="89">
        <f t="shared" ref="AK97" si="858">AVERAGE(AJ97:AJ98)</f>
        <v>598.49999999999989</v>
      </c>
      <c r="AL97" s="52">
        <v>0.20499999999999999</v>
      </c>
      <c r="AM97" s="89">
        <f t="shared" ref="AM97" si="859">AVERAGE(AL97:AL98)</f>
        <v>0.2195</v>
      </c>
      <c r="AN97" s="89">
        <f t="shared" ref="AN97" si="860">30*AM97</f>
        <v>6.585</v>
      </c>
      <c r="AO97" s="52">
        <v>0.23300000000000001</v>
      </c>
      <c r="AP97" s="89">
        <f t="shared" ref="AP97" si="861">AVERAGE(AO97:AO98)</f>
        <v>0.23250000000000001</v>
      </c>
      <c r="AQ97" s="89">
        <f t="shared" ref="AQ97" si="862">30*AP97</f>
        <v>6.9750000000000005</v>
      </c>
      <c r="AR97" s="52">
        <v>30.851985559566788</v>
      </c>
      <c r="AS97" s="89">
        <f t="shared" ref="AS97" si="863">AVERAGE(AR97:AR98)</f>
        <v>29.979542719614926</v>
      </c>
      <c r="AT97" s="52">
        <v>28.926594464500603</v>
      </c>
      <c r="AU97" s="89">
        <f t="shared" ref="AU97" si="864">AVERAGE(AT97:AT98)</f>
        <v>29.979542719614923</v>
      </c>
    </row>
    <row r="98" spans="1:47" x14ac:dyDescent="0.35">
      <c r="A98" s="88"/>
      <c r="B98" s="52">
        <v>-5.5411999999999999</v>
      </c>
      <c r="C98" s="89"/>
      <c r="D98" s="52">
        <v>-17.042000000000002</v>
      </c>
      <c r="E98" s="89"/>
      <c r="F98" s="52">
        <v>11.635999999999999</v>
      </c>
      <c r="G98" s="89"/>
      <c r="H98" s="52">
        <v>8.6525999999999996</v>
      </c>
      <c r="I98" s="89"/>
      <c r="J98" s="52" t="s">
        <v>3</v>
      </c>
      <c r="K98" s="89"/>
      <c r="L98" s="89"/>
      <c r="M98" s="52" t="s">
        <v>3</v>
      </c>
      <c r="N98" s="89"/>
      <c r="O98" s="89"/>
      <c r="P98" s="52">
        <v>-2.3269999999999999E-2</v>
      </c>
      <c r="Q98" s="89"/>
      <c r="R98" s="52">
        <v>-1.004E-2</v>
      </c>
      <c r="S98" s="89"/>
      <c r="T98" s="52">
        <v>10.473000000000001</v>
      </c>
      <c r="U98" s="89"/>
      <c r="V98" s="52">
        <v>32.590000000000003</v>
      </c>
      <c r="W98" s="89"/>
      <c r="X98" s="52">
        <v>-15.635999999999999</v>
      </c>
      <c r="Y98" s="89"/>
      <c r="Z98" s="89"/>
      <c r="AA98" s="52">
        <v>-28.26</v>
      </c>
      <c r="AB98" s="89"/>
      <c r="AC98" s="89"/>
      <c r="AD98" s="52">
        <v>4.7369999999999999E-3</v>
      </c>
      <c r="AE98" s="89"/>
      <c r="AF98" s="52">
        <v>2.7759999999999998E-3</v>
      </c>
      <c r="AG98" s="89"/>
      <c r="AH98" s="52">
        <v>400.99999999999994</v>
      </c>
      <c r="AI98" s="89"/>
      <c r="AJ98" s="52">
        <v>631</v>
      </c>
      <c r="AK98" s="89"/>
      <c r="AL98" s="52">
        <v>0.23400000000000001</v>
      </c>
      <c r="AM98" s="89"/>
      <c r="AN98" s="89"/>
      <c r="AO98" s="52">
        <v>0.23200000000000001</v>
      </c>
      <c r="AP98" s="89"/>
      <c r="AQ98" s="89"/>
      <c r="AR98" s="52">
        <v>29.10709987966306</v>
      </c>
      <c r="AS98" s="89"/>
      <c r="AT98" s="52">
        <v>31.032490974729242</v>
      </c>
      <c r="AU98" s="89"/>
    </row>
    <row r="99" spans="1:47" ht="14" customHeight="1" x14ac:dyDescent="0.35">
      <c r="A99" s="88">
        <v>49</v>
      </c>
      <c r="B99" s="52">
        <v>-11.522</v>
      </c>
      <c r="C99" s="89">
        <f>AVERAGE(B99:B101)</f>
        <v>-14.9255</v>
      </c>
      <c r="D99" s="52">
        <v>-18.437999999999999</v>
      </c>
      <c r="E99" s="89">
        <f>AVERAGE(D99:D101)</f>
        <v>-18.223500000000001</v>
      </c>
      <c r="F99" s="52">
        <v>7.0909000000000004</v>
      </c>
      <c r="G99" s="89">
        <f>AVERAGE(F99:F101)</f>
        <v>7.2797000000000001</v>
      </c>
      <c r="H99" s="52">
        <v>5.5689000000000002</v>
      </c>
      <c r="I99" s="89">
        <f>AVERAGE(H99:H101)</f>
        <v>6.0281500000000001</v>
      </c>
      <c r="J99" s="52">
        <v>-0.1157</v>
      </c>
      <c r="K99" s="89">
        <f>AVERAGE(J99:J101)</f>
        <v>-0.1157</v>
      </c>
      <c r="L99" s="89">
        <f>K99-'Hoja en sucio'!$W$117</f>
        <v>-2.6557142857142835E-2</v>
      </c>
      <c r="M99" s="52">
        <v>-0.1363</v>
      </c>
      <c r="N99" s="89">
        <f>AVERAGE(M99:M101)</f>
        <v>-0.1363</v>
      </c>
      <c r="O99" s="89">
        <f>N99-'Hoja en sucio'!$W$117</f>
        <v>-4.7157142857142842E-2</v>
      </c>
      <c r="P99" s="52">
        <v>-2.5999999999999999E-2</v>
      </c>
      <c r="Q99" s="89">
        <f>AVERAGE(P99:P101)</f>
        <v>-2.5599999999999998E-2</v>
      </c>
      <c r="R99" s="52">
        <v>-8.5700000000000012E-4</v>
      </c>
      <c r="S99" s="89">
        <f>AVERAGE(R99:R101)</f>
        <v>-6.5700000000000003E-4</v>
      </c>
      <c r="T99" s="52">
        <v>18.475999999999999</v>
      </c>
      <c r="U99" s="89">
        <f>AVERAGE(T99:T101)</f>
        <v>18.107999999999997</v>
      </c>
      <c r="V99" s="52">
        <v>15.396000000000001</v>
      </c>
      <c r="W99" s="89">
        <f>AVERAGE(V99:V101)</f>
        <v>15.237500000000001</v>
      </c>
      <c r="X99" s="52">
        <v>-16.635999999999999</v>
      </c>
      <c r="Y99" s="89">
        <f>AVERAGE(X99:X101)</f>
        <v>-15.4085</v>
      </c>
      <c r="Z99" s="89">
        <f>Y99-'Hoja en sucio'!$G$114</f>
        <v>-4.3432500000000012</v>
      </c>
      <c r="AA99" s="52">
        <v>-24</v>
      </c>
      <c r="AB99" s="89">
        <f>AVERAGE(AA99:AA101)</f>
        <v>-24.070999999999998</v>
      </c>
      <c r="AC99" s="89">
        <f>AB99-'Hoja en sucio'!$H$114</f>
        <v>-13.005749999999999</v>
      </c>
      <c r="AD99" s="52">
        <v>6.8799999999999998E-3</v>
      </c>
      <c r="AE99" s="89">
        <f>AVERAGE(AD99:AD102)</f>
        <v>6.7670000000000004E-3</v>
      </c>
      <c r="AF99" s="52">
        <v>1.7999999999999999E-2</v>
      </c>
      <c r="AG99" s="89">
        <f t="shared" ref="AG99" si="865">AVERAGE(AF99:AF102)</f>
        <v>6.4250000000000002E-2</v>
      </c>
      <c r="AH99" s="52">
        <v>418.49999999999994</v>
      </c>
      <c r="AI99" s="89">
        <f>AVERAGE(AH99:AH101)</f>
        <v>415.99999999999994</v>
      </c>
      <c r="AJ99" s="52">
        <v>480.99999999999989</v>
      </c>
      <c r="AK99" s="89">
        <f>AVERAGE(AJ99:AJ101)</f>
        <v>483.49999999999989</v>
      </c>
      <c r="AL99" s="52">
        <v>0.23599999999999999</v>
      </c>
      <c r="AM99" s="89">
        <f>AVERAGE(AL99:AL101)</f>
        <v>0.23949999999999999</v>
      </c>
      <c r="AN99" s="89">
        <f>30*AM99</f>
        <v>7.1849999999999996</v>
      </c>
      <c r="AO99" s="52">
        <v>0.251</v>
      </c>
      <c r="AP99" s="89">
        <f t="shared" ref="AP99" si="866">AVERAGE(AO99:AO102)</f>
        <v>0.25975000000000004</v>
      </c>
      <c r="AQ99" s="89">
        <f>30*AP99</f>
        <v>7.7925000000000013</v>
      </c>
      <c r="AR99" s="52">
        <v>21.164861612515043</v>
      </c>
      <c r="AS99" s="89">
        <f>AVERAGE(AR99:AR102)</f>
        <v>22.819494584837546</v>
      </c>
      <c r="AT99" s="52">
        <v>27.241877256317689</v>
      </c>
      <c r="AU99" s="89">
        <f>AVERAGE(AT99:AT102)</f>
        <v>30.069795427196148</v>
      </c>
    </row>
    <row r="100" spans="1:47" ht="14" customHeight="1" x14ac:dyDescent="0.35">
      <c r="A100" s="88"/>
      <c r="B100" s="52">
        <v>-18.329000000000001</v>
      </c>
      <c r="C100" s="89"/>
      <c r="D100" s="52">
        <v>-18.009</v>
      </c>
      <c r="E100" s="89"/>
      <c r="F100" s="52">
        <v>7.4684999999999997</v>
      </c>
      <c r="G100" s="89"/>
      <c r="H100" s="52">
        <v>6.4874000000000001</v>
      </c>
      <c r="I100" s="89"/>
      <c r="J100" s="52" t="s">
        <v>3</v>
      </c>
      <c r="K100" s="89"/>
      <c r="L100" s="89"/>
      <c r="M100" s="52" t="s">
        <v>3</v>
      </c>
      <c r="N100" s="89"/>
      <c r="O100" s="89"/>
      <c r="P100" s="52">
        <v>-2.52E-2</v>
      </c>
      <c r="Q100" s="89"/>
      <c r="R100" s="52">
        <v>-4.5700000000000005E-4</v>
      </c>
      <c r="S100" s="89"/>
      <c r="T100" s="52">
        <v>17.739999999999998</v>
      </c>
      <c r="U100" s="89"/>
      <c r="V100" s="52">
        <v>15.079000000000001</v>
      </c>
      <c r="W100" s="89"/>
      <c r="X100" s="52">
        <v>-14.180999999999999</v>
      </c>
      <c r="Y100" s="89"/>
      <c r="Z100" s="89"/>
      <c r="AA100" s="52">
        <v>-24.141999999999999</v>
      </c>
      <c r="AB100" s="89"/>
      <c r="AC100" s="89"/>
      <c r="AD100" s="52">
        <v>6.6540000000000002E-3</v>
      </c>
      <c r="AE100" s="89"/>
      <c r="AF100" s="52">
        <v>0.1105</v>
      </c>
      <c r="AG100" s="89"/>
      <c r="AH100" s="52">
        <v>413.49999999999994</v>
      </c>
      <c r="AI100" s="89"/>
      <c r="AJ100" s="52">
        <v>485.99999999999989</v>
      </c>
      <c r="AK100" s="89"/>
      <c r="AL100" s="52">
        <v>0.24299999999999999</v>
      </c>
      <c r="AM100" s="89"/>
      <c r="AN100" s="89"/>
      <c r="AO100" s="52">
        <v>0.26200000000000001</v>
      </c>
      <c r="AP100" s="89"/>
      <c r="AQ100" s="89"/>
      <c r="AR100" s="52">
        <v>24.474127557160049</v>
      </c>
      <c r="AS100" s="89"/>
      <c r="AT100" s="52">
        <v>32.897713598074603</v>
      </c>
      <c r="AU100" s="89"/>
    </row>
    <row r="101" spans="1:47" ht="14" customHeight="1" x14ac:dyDescent="0.35">
      <c r="A101" s="88"/>
      <c r="B101" s="52"/>
      <c r="C101" s="89"/>
      <c r="D101" s="52"/>
      <c r="E101" s="89"/>
      <c r="F101" s="52"/>
      <c r="G101" s="89"/>
      <c r="H101" s="52"/>
      <c r="I101" s="89"/>
      <c r="J101" s="52"/>
      <c r="K101" s="89"/>
      <c r="L101" s="89"/>
      <c r="M101" s="52"/>
      <c r="N101" s="89"/>
      <c r="O101" s="89"/>
      <c r="P101" s="52"/>
      <c r="Q101" s="89"/>
      <c r="R101" s="52"/>
      <c r="S101" s="89"/>
      <c r="T101" s="52"/>
      <c r="U101" s="89"/>
      <c r="V101" s="52"/>
      <c r="W101" s="89"/>
      <c r="X101" s="52"/>
      <c r="Y101" s="89"/>
      <c r="Z101" s="89"/>
      <c r="AA101" s="52"/>
      <c r="AB101" s="89"/>
      <c r="AC101" s="89"/>
      <c r="AE101" s="89"/>
      <c r="AF101" s="52"/>
      <c r="AG101" s="89"/>
      <c r="AH101" s="52"/>
      <c r="AI101" s="89"/>
      <c r="AJ101" s="52"/>
      <c r="AK101" s="89"/>
      <c r="AL101" s="52"/>
      <c r="AM101" s="89"/>
      <c r="AN101" s="89"/>
      <c r="AO101" s="52">
        <v>0.27200000000000002</v>
      </c>
      <c r="AP101" s="89"/>
      <c r="AQ101" s="89"/>
      <c r="AS101" s="89"/>
      <c r="AU101" s="89"/>
    </row>
    <row r="102" spans="1:47" ht="14" customHeight="1" x14ac:dyDescent="0.35">
      <c r="A102" s="88"/>
      <c r="B102" s="52"/>
      <c r="C102" s="89"/>
      <c r="D102" s="52"/>
      <c r="E102" s="89"/>
      <c r="F102" s="52"/>
      <c r="G102" s="89"/>
      <c r="H102" s="52"/>
      <c r="I102" s="89"/>
      <c r="J102" s="52"/>
      <c r="K102" s="89"/>
      <c r="L102" s="89"/>
      <c r="M102" s="52"/>
      <c r="N102" s="89"/>
      <c r="O102" s="89"/>
      <c r="P102" s="52"/>
      <c r="Q102" s="89"/>
      <c r="R102" s="52"/>
      <c r="S102" s="89"/>
      <c r="T102" s="52"/>
      <c r="U102" s="89"/>
      <c r="V102" s="52"/>
      <c r="W102" s="89"/>
      <c r="X102" s="52"/>
      <c r="Y102" s="89"/>
      <c r="Z102" s="89"/>
      <c r="AA102" s="52"/>
      <c r="AB102" s="89"/>
      <c r="AC102" s="89"/>
      <c r="AE102" s="89"/>
      <c r="AF102" s="52"/>
      <c r="AG102" s="89"/>
      <c r="AH102" s="52"/>
      <c r="AI102" s="89"/>
      <c r="AJ102" s="52"/>
      <c r="AK102" s="89"/>
      <c r="AL102" s="52"/>
      <c r="AM102" s="89"/>
      <c r="AN102" s="89"/>
      <c r="AO102" s="52">
        <v>0.254</v>
      </c>
      <c r="AP102" s="89"/>
      <c r="AQ102" s="89"/>
      <c r="AS102" s="89"/>
      <c r="AU102" s="89"/>
    </row>
    <row r="103" spans="1:47" x14ac:dyDescent="0.35">
      <c r="A103" s="88">
        <v>50</v>
      </c>
      <c r="B103" s="52">
        <v>-17.652000000000001</v>
      </c>
      <c r="C103" s="89">
        <f>AVERAGE(B103:B105)</f>
        <v>-14.8825</v>
      </c>
      <c r="D103" s="52">
        <v>-17.760000000000002</v>
      </c>
      <c r="E103" s="89">
        <f>AVERAGE(D103:D105)</f>
        <v>-17.9465</v>
      </c>
      <c r="F103" s="52">
        <v>8.5206999999999997</v>
      </c>
      <c r="G103" s="89">
        <f>AVERAGE(F103:F105)</f>
        <v>8.3754500000000007</v>
      </c>
      <c r="H103" s="52">
        <v>7.0769000000000002</v>
      </c>
      <c r="I103" s="89">
        <f>AVERAGE(H103:H105)</f>
        <v>6.9370500000000002</v>
      </c>
      <c r="J103" s="52">
        <v>-9.3600000000000003E-2</v>
      </c>
      <c r="K103" s="89">
        <f>AVERAGE(J103:J105)</f>
        <v>-9.3600000000000003E-2</v>
      </c>
      <c r="L103" s="89">
        <f>K103-'Hoja en sucio'!$W$117</f>
        <v>-4.4571428571428401E-3</v>
      </c>
      <c r="M103" s="52">
        <v>-0.14610000000000001</v>
      </c>
      <c r="N103" s="89">
        <f>AVERAGE(M103:M105)</f>
        <v>-0.14610000000000001</v>
      </c>
      <c r="O103" s="89">
        <f>N103-'Hoja en sucio'!$W$117</f>
        <v>-5.6957142857142845E-2</v>
      </c>
      <c r="P103" s="52">
        <v>-2.291E-2</v>
      </c>
      <c r="Q103" s="89">
        <f>AVERAGE(P103:P105)</f>
        <v>-2.3599999999999999E-2</v>
      </c>
      <c r="R103" s="52">
        <v>-1.251E-2</v>
      </c>
      <c r="S103" s="89">
        <f>AVERAGE(R103:R105)</f>
        <v>-1.7090000000000001E-2</v>
      </c>
      <c r="T103" s="52">
        <v>8.5393000000000008</v>
      </c>
      <c r="U103" s="89">
        <f>AVERAGE(T103:T105)</f>
        <v>9.2196500000000015</v>
      </c>
      <c r="V103" s="52">
        <v>11.237</v>
      </c>
      <c r="W103" s="89">
        <f>AVERAGE(V103:V105)</f>
        <v>11.3345</v>
      </c>
      <c r="X103" s="52">
        <v>-19.832000000000001</v>
      </c>
      <c r="Y103" s="89">
        <f>AVERAGE(X103:X105)</f>
        <v>-17.97</v>
      </c>
      <c r="Z103" s="89">
        <f>Y103-'Hoja en sucio'!$G$114</f>
        <v>-6.9047499999999999</v>
      </c>
      <c r="AA103" s="52">
        <v>-27.204999999999998</v>
      </c>
      <c r="AB103" s="89">
        <f>AVERAGE(AA103:AA105)</f>
        <v>-27.3825</v>
      </c>
      <c r="AC103" s="89">
        <f>AB103-'Hoja en sucio'!$H$114</f>
        <v>-16.317250000000001</v>
      </c>
      <c r="AD103" s="52">
        <v>1.516E-2</v>
      </c>
      <c r="AE103" s="89">
        <f t="shared" ref="AE103" si="867">AVERAGE(AD103:AD106)</f>
        <v>1.0151E-2</v>
      </c>
      <c r="AF103" s="52">
        <v>2.6800000000000001E-2</v>
      </c>
      <c r="AG103" s="89">
        <f t="shared" ref="AG103" si="868">AVERAGE(AF103:AF106)</f>
        <v>2.2855E-2</v>
      </c>
      <c r="AH103" s="52">
        <v>375.99999999999994</v>
      </c>
      <c r="AI103" s="89">
        <f>AVERAGE(AH103:AH105)</f>
        <v>385.99999999999994</v>
      </c>
      <c r="AJ103" s="52">
        <v>486</v>
      </c>
      <c r="AK103" s="89">
        <f>AVERAGE(AJ103:AJ105)</f>
        <v>459.75</v>
      </c>
      <c r="AL103" s="52">
        <v>0.161</v>
      </c>
      <c r="AM103" s="89">
        <f>AVERAGE(AL103:AL105)</f>
        <v>0.16350000000000001</v>
      </c>
      <c r="AN103" s="89">
        <f t="shared" ref="AN103" si="869">30*AM103</f>
        <v>4.9050000000000002</v>
      </c>
      <c r="AO103" s="52">
        <v>0.251</v>
      </c>
      <c r="AP103" s="89">
        <f t="shared" ref="AP103" si="870">AVERAGE(AO103:AO106)</f>
        <v>0.26275000000000004</v>
      </c>
      <c r="AQ103" s="89">
        <f t="shared" ref="AQ103" si="871">30*AP103</f>
        <v>7.8825000000000012</v>
      </c>
      <c r="AR103" s="52">
        <v>18.276774969915767</v>
      </c>
      <c r="AS103" s="89">
        <f t="shared" ref="AS103" si="872">AVERAGE(AR103:AR106)</f>
        <v>18.006016847172084</v>
      </c>
      <c r="AT103" s="52">
        <v>42.163658243080626</v>
      </c>
      <c r="AU103" s="89">
        <f t="shared" ref="AU103" si="873">AVERAGE(AT103:AT106)</f>
        <v>43.186522262334535</v>
      </c>
    </row>
    <row r="104" spans="1:47" x14ac:dyDescent="0.35">
      <c r="A104" s="88"/>
      <c r="B104" s="52">
        <v>-12.113</v>
      </c>
      <c r="C104" s="89"/>
      <c r="D104" s="52">
        <v>-18.132999999999999</v>
      </c>
      <c r="E104" s="89"/>
      <c r="F104" s="52">
        <v>8.2302</v>
      </c>
      <c r="G104" s="89"/>
      <c r="H104" s="52">
        <v>6.7972000000000001</v>
      </c>
      <c r="I104" s="89"/>
      <c r="J104" s="52" t="s">
        <v>3</v>
      </c>
      <c r="K104" s="89"/>
      <c r="L104" s="89"/>
      <c r="M104" s="52" t="s">
        <v>3</v>
      </c>
      <c r="N104" s="89"/>
      <c r="O104" s="89"/>
      <c r="P104" s="52">
        <v>-2.4289999999999999E-2</v>
      </c>
      <c r="Q104" s="89"/>
      <c r="R104" s="52">
        <v>-2.1669999999999998E-2</v>
      </c>
      <c r="S104" s="89"/>
      <c r="T104" s="52">
        <v>9.9</v>
      </c>
      <c r="U104" s="89"/>
      <c r="V104" s="52">
        <v>11.432</v>
      </c>
      <c r="W104" s="89"/>
      <c r="X104" s="52">
        <v>-16.108000000000001</v>
      </c>
      <c r="Y104" s="89"/>
      <c r="Z104" s="89"/>
      <c r="AA104" s="52">
        <v>-27.56</v>
      </c>
      <c r="AB104" s="89"/>
      <c r="AC104" s="89"/>
      <c r="AD104" s="52">
        <v>5.1420000000000007E-3</v>
      </c>
      <c r="AE104" s="89"/>
      <c r="AF104" s="52">
        <v>1.891E-2</v>
      </c>
      <c r="AG104" s="89"/>
      <c r="AH104" s="52">
        <v>395.99999999999994</v>
      </c>
      <c r="AI104" s="89"/>
      <c r="AJ104" s="52">
        <v>433.5</v>
      </c>
      <c r="AK104" s="89"/>
      <c r="AL104" s="52">
        <v>0.16600000000000001</v>
      </c>
      <c r="AM104" s="89"/>
      <c r="AN104" s="89"/>
      <c r="AO104" s="52">
        <v>0.27</v>
      </c>
      <c r="AP104" s="89"/>
      <c r="AQ104" s="89"/>
      <c r="AR104" s="52">
        <v>17.735258724428402</v>
      </c>
      <c r="AS104" s="89"/>
      <c r="AT104" s="52">
        <v>44.209386281588451</v>
      </c>
      <c r="AU104" s="89"/>
    </row>
    <row r="105" spans="1:47" x14ac:dyDescent="0.35">
      <c r="A105" s="88"/>
      <c r="B105" s="52"/>
      <c r="C105" s="89"/>
      <c r="D105" s="52"/>
      <c r="E105" s="89"/>
      <c r="F105" s="52"/>
      <c r="G105" s="89"/>
      <c r="H105" s="52"/>
      <c r="I105" s="89"/>
      <c r="J105" s="52"/>
      <c r="K105" s="89"/>
      <c r="L105" s="89"/>
      <c r="M105" s="52"/>
      <c r="N105" s="89"/>
      <c r="O105" s="89"/>
      <c r="P105" s="52"/>
      <c r="Q105" s="89"/>
      <c r="R105" s="52"/>
      <c r="S105" s="89"/>
      <c r="T105" s="52"/>
      <c r="U105" s="89"/>
      <c r="V105" s="52"/>
      <c r="W105" s="89"/>
      <c r="X105" s="52"/>
      <c r="Y105" s="89"/>
      <c r="Z105" s="89"/>
      <c r="AA105" s="52"/>
      <c r="AB105" s="89"/>
      <c r="AC105" s="89"/>
      <c r="AE105" s="89"/>
      <c r="AF105" s="52"/>
      <c r="AG105" s="89"/>
      <c r="AH105" s="52"/>
      <c r="AI105" s="89"/>
      <c r="AJ105" s="52"/>
      <c r="AK105" s="89"/>
      <c r="AL105" s="52"/>
      <c r="AM105" s="89"/>
      <c r="AN105" s="89"/>
      <c r="AO105" s="52">
        <v>0.27300000000000002</v>
      </c>
      <c r="AP105" s="89"/>
      <c r="AQ105" s="89"/>
      <c r="AR105" s="52"/>
      <c r="AS105" s="89"/>
      <c r="AT105" s="52"/>
      <c r="AU105" s="89"/>
    </row>
    <row r="106" spans="1:47" x14ac:dyDescent="0.35">
      <c r="A106" s="88"/>
      <c r="B106" s="52"/>
      <c r="C106" s="89"/>
      <c r="D106" s="52"/>
      <c r="E106" s="89"/>
      <c r="F106" s="52"/>
      <c r="G106" s="89"/>
      <c r="H106" s="52"/>
      <c r="I106" s="89"/>
      <c r="J106" s="52"/>
      <c r="K106" s="89"/>
      <c r="L106" s="89"/>
      <c r="M106" s="52"/>
      <c r="N106" s="89"/>
      <c r="O106" s="89"/>
      <c r="P106" s="52"/>
      <c r="Q106" s="89"/>
      <c r="R106" s="52"/>
      <c r="S106" s="89"/>
      <c r="T106" s="52"/>
      <c r="U106" s="89"/>
      <c r="V106" s="52"/>
      <c r="W106" s="89"/>
      <c r="X106" s="52"/>
      <c r="Y106" s="89"/>
      <c r="Z106" s="89"/>
      <c r="AA106" s="52"/>
      <c r="AB106" s="89"/>
      <c r="AC106" s="89"/>
      <c r="AE106" s="89"/>
      <c r="AF106" s="52"/>
      <c r="AG106" s="89"/>
      <c r="AH106" s="52"/>
      <c r="AI106" s="89"/>
      <c r="AJ106" s="52"/>
      <c r="AK106" s="89"/>
      <c r="AL106" s="52"/>
      <c r="AM106" s="89"/>
      <c r="AN106" s="89"/>
      <c r="AO106" s="52">
        <v>0.25700000000000001</v>
      </c>
      <c r="AP106" s="89"/>
      <c r="AQ106" s="89"/>
      <c r="AR106" s="52"/>
      <c r="AS106" s="89"/>
      <c r="AT106" s="52"/>
      <c r="AU106" s="89"/>
    </row>
    <row r="107" spans="1:47" x14ac:dyDescent="0.35">
      <c r="A107" s="88">
        <v>51</v>
      </c>
      <c r="B107" s="52">
        <v>-11.691000000000001</v>
      </c>
      <c r="C107" s="89">
        <f>AVERAGE(B107:B109)</f>
        <v>-12.4575</v>
      </c>
      <c r="D107" s="52">
        <v>-19.129000000000001</v>
      </c>
      <c r="E107" s="89">
        <f>AVERAGE(D107:D109)</f>
        <v>-18.738500000000002</v>
      </c>
      <c r="F107" s="52">
        <v>7.6280999999999999</v>
      </c>
      <c r="G107" s="89">
        <f>AVERAGE(F107:F109)</f>
        <v>7.5063499999999994</v>
      </c>
      <c r="H107" s="52">
        <v>6.6326000000000001</v>
      </c>
      <c r="I107" s="89">
        <f>AVERAGE(H107:H109)</f>
        <v>6.6565500000000002</v>
      </c>
      <c r="J107" s="52">
        <v>-8.2000000000000003E-2</v>
      </c>
      <c r="K107" s="89">
        <f>AVERAGE(J107:J109)</f>
        <v>-8.2000000000000003E-2</v>
      </c>
      <c r="L107" s="89">
        <f>K107-'Hoja en sucio'!$W$117</f>
        <v>7.1428571428571591E-3</v>
      </c>
      <c r="M107" s="52">
        <v>-8.3930000000000005E-2</v>
      </c>
      <c r="N107" s="89">
        <f>AVERAGE(M107:M109)</f>
        <v>-8.3930000000000005E-2</v>
      </c>
      <c r="O107" s="89">
        <f>N107-'Hoja en sucio'!$W$117</f>
        <v>5.212857142857158E-3</v>
      </c>
      <c r="P107" s="52">
        <v>-2.3470000000000001E-2</v>
      </c>
      <c r="Q107" s="89">
        <f>AVERAGE(P107:P109)</f>
        <v>-2.3155000000000002E-2</v>
      </c>
      <c r="R107" s="52">
        <v>-1.5709999999999998E-2</v>
      </c>
      <c r="S107" s="89">
        <f>AVERAGE(R107:R109)</f>
        <v>4.5450000000000004E-3</v>
      </c>
      <c r="T107" s="52">
        <v>9.6529000000000007</v>
      </c>
      <c r="U107" s="89">
        <f>AVERAGE(T107:T109)</f>
        <v>9.8374500000000005</v>
      </c>
      <c r="V107" s="52">
        <v>11.488</v>
      </c>
      <c r="W107" s="89">
        <f>AVERAGE(V107:V109)</f>
        <v>12.0815</v>
      </c>
      <c r="X107" s="52">
        <v>-17.559000000000001</v>
      </c>
      <c r="Y107" s="89">
        <f>AVERAGE(X107:X109)</f>
        <v>-15.946000000000002</v>
      </c>
      <c r="Z107" s="89">
        <f>Y107-'Hoja en sucio'!$G$114</f>
        <v>-4.8807500000000026</v>
      </c>
      <c r="AA107" s="52">
        <v>-29.902999999999999</v>
      </c>
      <c r="AB107" s="89">
        <f>AVERAGE(AA107:AA109)</f>
        <v>-30.256</v>
      </c>
      <c r="AC107" s="89">
        <f>AB107-'Hoja en sucio'!$H$114</f>
        <v>-19.190750000000001</v>
      </c>
      <c r="AD107" s="52">
        <v>2.4E-2</v>
      </c>
      <c r="AE107" s="89">
        <f t="shared" ref="AE107" si="874">AVERAGE(AD107:AD110)</f>
        <v>1.5383500000000001E-2</v>
      </c>
      <c r="AF107" s="52">
        <v>0.1951</v>
      </c>
      <c r="AG107" s="89">
        <f t="shared" ref="AG107" si="875">AVERAGE(AF107:AF110)</f>
        <v>9.9444499999999991E-2</v>
      </c>
      <c r="AH107" s="52">
        <v>273.5</v>
      </c>
      <c r="AI107" s="89">
        <f>AVERAGE(AH107:AH109)</f>
        <v>273.5</v>
      </c>
      <c r="AJ107" s="52">
        <v>523.49999999999989</v>
      </c>
      <c r="AK107" s="89">
        <f>AVERAGE(AJ107:AJ109)</f>
        <v>569.75</v>
      </c>
      <c r="AL107" s="52">
        <v>0.17799999999999999</v>
      </c>
      <c r="AM107" s="89">
        <f>AVERAGE(AL107:AL109)</f>
        <v>0.186</v>
      </c>
      <c r="AN107" s="89">
        <f t="shared" ref="AN107" si="876">30*AM107</f>
        <v>5.58</v>
      </c>
      <c r="AO107" s="52">
        <v>0.253</v>
      </c>
      <c r="AP107" s="89">
        <f t="shared" ref="AP107" si="877">AVERAGE(AO107:AO110)</f>
        <v>0.26700000000000002</v>
      </c>
      <c r="AQ107" s="89">
        <f t="shared" ref="AQ107" si="878">30*AP107</f>
        <v>8.01</v>
      </c>
      <c r="AR107" s="52">
        <v>19.540312876052948</v>
      </c>
      <c r="AS107" s="89">
        <f t="shared" ref="AS107" si="879">AVERAGE(AR107:AR110)</f>
        <v>18.397111913357399</v>
      </c>
      <c r="AT107" s="52">
        <v>45.593261131167267</v>
      </c>
      <c r="AU107" s="89">
        <f t="shared" ref="AU107" si="880">AVERAGE(AT107:AT110)</f>
        <v>42.915764139590848</v>
      </c>
    </row>
    <row r="108" spans="1:47" x14ac:dyDescent="0.35">
      <c r="A108" s="88"/>
      <c r="B108" s="52">
        <v>-13.224</v>
      </c>
      <c r="C108" s="89"/>
      <c r="D108" s="52">
        <v>-18.347999999999999</v>
      </c>
      <c r="E108" s="89"/>
      <c r="F108" s="52">
        <v>7.3845999999999998</v>
      </c>
      <c r="G108" s="89"/>
      <c r="H108" s="52">
        <v>6.6805000000000003</v>
      </c>
      <c r="I108" s="89"/>
      <c r="J108" s="52" t="s">
        <v>3</v>
      </c>
      <c r="K108" s="89"/>
      <c r="L108" s="89"/>
      <c r="M108" s="52" t="s">
        <v>3</v>
      </c>
      <c r="N108" s="89"/>
      <c r="O108" s="89"/>
      <c r="P108" s="52">
        <v>-2.2839999999999999E-2</v>
      </c>
      <c r="Q108" s="89"/>
      <c r="R108" s="52">
        <v>2.4799999999999999E-2</v>
      </c>
      <c r="S108" s="89"/>
      <c r="T108" s="52">
        <v>10.022</v>
      </c>
      <c r="U108" s="89"/>
      <c r="V108" s="52">
        <v>12.675000000000001</v>
      </c>
      <c r="W108" s="89"/>
      <c r="X108" s="52">
        <v>-14.333</v>
      </c>
      <c r="Y108" s="89"/>
      <c r="Z108" s="89"/>
      <c r="AA108" s="52">
        <v>-30.609000000000002</v>
      </c>
      <c r="AB108" s="89"/>
      <c r="AC108" s="89"/>
      <c r="AD108" s="52">
        <v>6.7670000000000004E-3</v>
      </c>
      <c r="AE108" s="89"/>
      <c r="AF108" s="52">
        <v>3.7890000000000003E-3</v>
      </c>
      <c r="AG108" s="89"/>
      <c r="AH108" s="52">
        <v>273.5</v>
      </c>
      <c r="AI108" s="89"/>
      <c r="AJ108" s="52">
        <v>616</v>
      </c>
      <c r="AK108" s="89"/>
      <c r="AL108" s="52">
        <v>0.19400000000000001</v>
      </c>
      <c r="AM108" s="89"/>
      <c r="AN108" s="89"/>
      <c r="AO108" s="52">
        <v>0.28599999999999998</v>
      </c>
      <c r="AP108" s="89"/>
      <c r="AQ108" s="89"/>
      <c r="AR108" s="52">
        <v>17.253910950661854</v>
      </c>
      <c r="AS108" s="89"/>
      <c r="AT108" s="52">
        <v>40.238267148014437</v>
      </c>
      <c r="AU108" s="89"/>
    </row>
    <row r="109" spans="1:47" x14ac:dyDescent="0.35">
      <c r="A109" s="88"/>
      <c r="B109" s="52"/>
      <c r="C109" s="89"/>
      <c r="D109" s="52"/>
      <c r="E109" s="89"/>
      <c r="F109" s="52"/>
      <c r="G109" s="89"/>
      <c r="H109" s="52"/>
      <c r="I109" s="89"/>
      <c r="J109" s="52"/>
      <c r="K109" s="89"/>
      <c r="L109" s="89"/>
      <c r="M109" s="52"/>
      <c r="N109" s="89"/>
      <c r="O109" s="89"/>
      <c r="P109" s="52"/>
      <c r="Q109" s="89"/>
      <c r="R109" s="52"/>
      <c r="S109" s="89"/>
      <c r="T109" s="52"/>
      <c r="U109" s="89"/>
      <c r="V109" s="52"/>
      <c r="W109" s="89"/>
      <c r="X109" s="52"/>
      <c r="Y109" s="89"/>
      <c r="Z109" s="89"/>
      <c r="AA109" s="52"/>
      <c r="AB109" s="89"/>
      <c r="AC109" s="89"/>
      <c r="AD109" s="52"/>
      <c r="AE109" s="89"/>
      <c r="AF109" s="52"/>
      <c r="AG109" s="89"/>
      <c r="AH109" s="52"/>
      <c r="AI109" s="89"/>
      <c r="AJ109" s="52"/>
      <c r="AK109" s="89"/>
      <c r="AL109" s="52"/>
      <c r="AM109" s="89"/>
      <c r="AN109" s="89"/>
      <c r="AO109" s="52">
        <v>0.27900000000000003</v>
      </c>
      <c r="AP109" s="89"/>
      <c r="AQ109" s="89"/>
      <c r="AR109" s="52"/>
      <c r="AS109" s="89"/>
      <c r="AT109" s="52"/>
      <c r="AU109" s="89"/>
    </row>
    <row r="110" spans="1:47" x14ac:dyDescent="0.35">
      <c r="A110" s="88"/>
      <c r="B110" s="52"/>
      <c r="C110" s="89"/>
      <c r="D110" s="52"/>
      <c r="E110" s="89"/>
      <c r="F110" s="52"/>
      <c r="G110" s="89"/>
      <c r="H110" s="52"/>
      <c r="I110" s="89"/>
      <c r="J110" s="52"/>
      <c r="K110" s="89"/>
      <c r="L110" s="89"/>
      <c r="M110" s="52"/>
      <c r="N110" s="89"/>
      <c r="O110" s="89"/>
      <c r="P110" s="52"/>
      <c r="Q110" s="89"/>
      <c r="R110" s="52"/>
      <c r="S110" s="89"/>
      <c r="T110" s="52"/>
      <c r="U110" s="89"/>
      <c r="V110" s="52"/>
      <c r="W110" s="89"/>
      <c r="X110" s="52"/>
      <c r="Y110" s="89"/>
      <c r="Z110" s="89"/>
      <c r="AA110" s="52"/>
      <c r="AB110" s="89"/>
      <c r="AC110" s="89"/>
      <c r="AD110" s="52"/>
      <c r="AE110" s="89"/>
      <c r="AF110" s="52"/>
      <c r="AG110" s="89"/>
      <c r="AH110" s="52"/>
      <c r="AI110" s="89"/>
      <c r="AJ110" s="52"/>
      <c r="AK110" s="89"/>
      <c r="AL110" s="52"/>
      <c r="AM110" s="89"/>
      <c r="AN110" s="89"/>
      <c r="AO110" s="52">
        <v>0.25</v>
      </c>
      <c r="AP110" s="89"/>
      <c r="AQ110" s="89"/>
      <c r="AR110" s="52"/>
      <c r="AS110" s="89"/>
      <c r="AT110" s="52"/>
      <c r="AU110" s="89"/>
    </row>
    <row r="111" spans="1:47" x14ac:dyDescent="0.35">
      <c r="A111" s="74"/>
    </row>
    <row r="112" spans="1:47" x14ac:dyDescent="0.35">
      <c r="A112" s="74"/>
    </row>
    <row r="113" spans="2:11" x14ac:dyDescent="0.35">
      <c r="B113" s="89" t="s">
        <v>148</v>
      </c>
      <c r="C113" s="89"/>
      <c r="D113" s="89"/>
      <c r="E113" s="89"/>
      <c r="F113" s="89"/>
      <c r="G113" s="89"/>
      <c r="H113" s="89"/>
      <c r="I113" s="89"/>
      <c r="J113" s="89"/>
      <c r="K113" s="89"/>
    </row>
    <row r="114" spans="2:11" x14ac:dyDescent="0.35">
      <c r="B114" s="89"/>
      <c r="C114" s="89"/>
      <c r="D114" s="89"/>
      <c r="E114" s="89"/>
      <c r="F114" s="89"/>
      <c r="G114" s="89"/>
      <c r="H114" s="89"/>
      <c r="I114" s="89"/>
      <c r="J114" s="89"/>
      <c r="K114" s="89"/>
    </row>
    <row r="115" spans="2:11" x14ac:dyDescent="0.35">
      <c r="B115" t="s">
        <v>10</v>
      </c>
      <c r="C115" t="s">
        <v>49</v>
      </c>
      <c r="D115" t="s">
        <v>146</v>
      </c>
      <c r="E115" t="s">
        <v>51</v>
      </c>
      <c r="F115" t="s">
        <v>52</v>
      </c>
      <c r="G115" t="s">
        <v>53</v>
      </c>
      <c r="H115" t="s">
        <v>11</v>
      </c>
      <c r="I115" t="s">
        <v>147</v>
      </c>
      <c r="J115" t="s">
        <v>12</v>
      </c>
      <c r="K115" t="s">
        <v>13</v>
      </c>
    </row>
    <row r="116" spans="2:11" x14ac:dyDescent="0.35">
      <c r="B116">
        <v>7.2313000000000001</v>
      </c>
      <c r="C116">
        <v>-10.7897</v>
      </c>
      <c r="D116">
        <v>4.9528571428571616E-3</v>
      </c>
      <c r="E116">
        <v>-3.0649999999999997E-2</v>
      </c>
      <c r="F116">
        <v>17.908000000000001</v>
      </c>
      <c r="G116">
        <v>-4.0467500000000012</v>
      </c>
      <c r="H116">
        <v>3.6090000000000002E-3</v>
      </c>
      <c r="I116">
        <v>8.2649999999999988</v>
      </c>
      <c r="J116">
        <v>860.74999999999989</v>
      </c>
      <c r="K116">
        <v>28.685920577617331</v>
      </c>
    </row>
    <row r="117" spans="2:11" x14ac:dyDescent="0.35">
      <c r="B117">
        <v>7.9558499999999999</v>
      </c>
      <c r="C117">
        <v>-5.3513500000000001</v>
      </c>
      <c r="D117">
        <v>-5.1157142857142845E-2</v>
      </c>
      <c r="E117">
        <v>-2.4274999999999998E-2</v>
      </c>
      <c r="F117">
        <v>11.346499999999999</v>
      </c>
      <c r="G117">
        <v>-3.2777500000000011</v>
      </c>
      <c r="H117">
        <v>5.8650000000000004E-3</v>
      </c>
      <c r="I117">
        <v>5.7149999999999999</v>
      </c>
      <c r="J117">
        <v>578.24999999999977</v>
      </c>
      <c r="K117">
        <v>24.985559566787003</v>
      </c>
    </row>
    <row r="118" spans="2:11" x14ac:dyDescent="0.35">
      <c r="B118">
        <v>8.4469500000000011</v>
      </c>
      <c r="C118">
        <v>-7.3625999999999996</v>
      </c>
      <c r="D118">
        <v>-5.1157142857142845E-2</v>
      </c>
      <c r="E118">
        <v>-1.9505000000000002E-2</v>
      </c>
      <c r="F118">
        <v>15.070499999999999</v>
      </c>
      <c r="G118">
        <v>-8.5577499999999986</v>
      </c>
      <c r="H118">
        <v>1.6539999999999999E-3</v>
      </c>
      <c r="I118">
        <v>6.4050000000000011</v>
      </c>
      <c r="J118">
        <v>336.99999999999989</v>
      </c>
      <c r="K118">
        <v>21.194945848375454</v>
      </c>
    </row>
    <row r="119" spans="2:11" x14ac:dyDescent="0.35">
      <c r="B119">
        <v>8.0723000000000003</v>
      </c>
      <c r="C119">
        <v>-7.7692499999999995</v>
      </c>
      <c r="D119">
        <v>-0.11725714285714284</v>
      </c>
      <c r="E119">
        <v>-2.4645E-2</v>
      </c>
      <c r="F119">
        <v>10.754000000000001</v>
      </c>
      <c r="G119">
        <v>-9.401250000000001</v>
      </c>
      <c r="H119">
        <v>1.4660000000000001E-3</v>
      </c>
      <c r="I119">
        <v>5.625</v>
      </c>
      <c r="J119">
        <v>475.74999999999989</v>
      </c>
      <c r="K119">
        <v>22.217809867629363</v>
      </c>
    </row>
    <row r="120" spans="2:11" x14ac:dyDescent="0.35">
      <c r="B120">
        <v>9.9887499999999996</v>
      </c>
      <c r="C120">
        <v>-4.7940500000000004</v>
      </c>
      <c r="D120">
        <v>-6.4157142857142829E-2</v>
      </c>
      <c r="E120">
        <v>-1.8855E-2</v>
      </c>
      <c r="F120">
        <v>9.5443999999999996</v>
      </c>
      <c r="G120">
        <v>-3.5577500000000004</v>
      </c>
      <c r="H120">
        <v>3.1579999999999998E-3</v>
      </c>
      <c r="I120">
        <v>4.1550000000000002</v>
      </c>
      <c r="J120">
        <v>290.74999999999989</v>
      </c>
      <c r="K120">
        <v>22.217809867629363</v>
      </c>
    </row>
    <row r="121" spans="2:11" x14ac:dyDescent="0.35">
      <c r="B121">
        <v>8.5308500000000009</v>
      </c>
      <c r="C121">
        <v>-9.2689000000000004</v>
      </c>
      <c r="D121">
        <v>-9.9714285714283535E-4</v>
      </c>
      <c r="E121">
        <v>-2.3099999999999999E-2</v>
      </c>
      <c r="F121">
        <v>19.8735</v>
      </c>
      <c r="G121">
        <v>-4.9652500000000011</v>
      </c>
      <c r="H121">
        <v>1.6240000000000002E-3</v>
      </c>
      <c r="I121">
        <v>5.61</v>
      </c>
      <c r="J121">
        <v>196.99999999999989</v>
      </c>
      <c r="K121">
        <v>22.247894103489774</v>
      </c>
    </row>
    <row r="122" spans="2:11" x14ac:dyDescent="0.35">
      <c r="B122">
        <v>8.0462500000000006</v>
      </c>
      <c r="C122">
        <v>-7.7476500000000001</v>
      </c>
      <c r="D122">
        <v>-7.3557142857142849E-2</v>
      </c>
      <c r="E122">
        <v>-2.6605E-2</v>
      </c>
      <c r="F122">
        <v>21.551000000000002</v>
      </c>
      <c r="G122">
        <v>-8.2887500000000003</v>
      </c>
      <c r="H122">
        <v>3.1580000000000003E-4</v>
      </c>
      <c r="I122">
        <v>6.51</v>
      </c>
      <c r="J122">
        <v>440.74999999999994</v>
      </c>
      <c r="K122">
        <v>25.617328519855597</v>
      </c>
    </row>
    <row r="123" spans="2:11" x14ac:dyDescent="0.35">
      <c r="B123">
        <v>8.1576000000000004</v>
      </c>
      <c r="C123">
        <v>-13.567</v>
      </c>
      <c r="D123">
        <v>-0.14285714285714285</v>
      </c>
      <c r="E123">
        <v>-3.6670000000000001E-2</v>
      </c>
      <c r="F123">
        <v>19.291499999999999</v>
      </c>
      <c r="G123">
        <v>-14.740749999999998</v>
      </c>
      <c r="H123">
        <v>9.1090000000000008E-4</v>
      </c>
      <c r="I123">
        <v>7.6950000000000003</v>
      </c>
      <c r="J123">
        <v>625.75</v>
      </c>
      <c r="K123">
        <v>28.32490974729242</v>
      </c>
    </row>
    <row r="124" spans="2:11" x14ac:dyDescent="0.35">
      <c r="B124">
        <v>8.1356999999999999</v>
      </c>
      <c r="C124">
        <v>-7.5870499999999996</v>
      </c>
      <c r="D124">
        <v>3.6228571428571638E-3</v>
      </c>
      <c r="E124">
        <v>-2.9059999999999999E-2</v>
      </c>
      <c r="F124">
        <v>15.643000000000001</v>
      </c>
      <c r="G124">
        <v>-9.2522500000000001</v>
      </c>
      <c r="H124">
        <v>6.7670000000000004E-3</v>
      </c>
      <c r="I124">
        <v>3.57</v>
      </c>
      <c r="J124">
        <v>595.75</v>
      </c>
      <c r="K124">
        <v>30.942238267148014</v>
      </c>
    </row>
    <row r="125" spans="2:11" x14ac:dyDescent="0.35">
      <c r="B125">
        <v>8.8402499999999993</v>
      </c>
      <c r="C125">
        <v>-6.3127499999999994</v>
      </c>
      <c r="D125">
        <v>-3.4457142857142839E-2</v>
      </c>
      <c r="E125">
        <v>-3.5765000000000005E-2</v>
      </c>
      <c r="F125">
        <v>10.818999999999999</v>
      </c>
      <c r="G125">
        <v>-7.3302499999999995</v>
      </c>
      <c r="H125">
        <v>1.389E-2</v>
      </c>
      <c r="I125">
        <v>6.7499999999999991</v>
      </c>
      <c r="J125">
        <v>474.49999999999989</v>
      </c>
      <c r="K125">
        <v>26.279181708784598</v>
      </c>
    </row>
    <row r="126" spans="2:11" x14ac:dyDescent="0.35">
      <c r="B126">
        <v>8.546050000000001</v>
      </c>
      <c r="C126">
        <v>-13.353</v>
      </c>
      <c r="D126">
        <v>-8.7257142857142839E-2</v>
      </c>
      <c r="E126">
        <v>-0.03</v>
      </c>
      <c r="F126">
        <v>19.932000000000002</v>
      </c>
      <c r="G126">
        <v>-12.244750000000003</v>
      </c>
      <c r="H126">
        <v>7.4740000000000006E-3</v>
      </c>
      <c r="I126">
        <v>4.6349999999999998</v>
      </c>
      <c r="J126">
        <v>228.24999999999989</v>
      </c>
      <c r="K126">
        <v>26.730445246690735</v>
      </c>
    </row>
    <row r="127" spans="2:11" x14ac:dyDescent="0.35">
      <c r="B127">
        <v>9.1403999999999996</v>
      </c>
      <c r="C127">
        <v>-14.672499999999999</v>
      </c>
      <c r="D127">
        <v>-3.2571428571428335E-3</v>
      </c>
      <c r="E127">
        <v>-2.9929999999999998E-2</v>
      </c>
      <c r="F127">
        <v>16.1005</v>
      </c>
      <c r="G127">
        <v>-9.0247500000000009</v>
      </c>
      <c r="H127">
        <v>1.7999999999999999E-2</v>
      </c>
      <c r="I127">
        <v>3.9750000000000001</v>
      </c>
      <c r="J127">
        <v>435.74999999999989</v>
      </c>
      <c r="K127">
        <v>20.412755716004817</v>
      </c>
    </row>
    <row r="128" spans="2:11" x14ac:dyDescent="0.35">
      <c r="B128">
        <v>8.577</v>
      </c>
      <c r="C128">
        <v>-14.979500000000002</v>
      </c>
      <c r="D128">
        <v>-0.24765714285714283</v>
      </c>
      <c r="E128">
        <v>-2.7779999999999999E-2</v>
      </c>
      <c r="F128">
        <v>19.757000000000001</v>
      </c>
      <c r="G128">
        <v>-9.0697499999999991</v>
      </c>
      <c r="H128">
        <v>6.9470000000000001E-3</v>
      </c>
      <c r="I128">
        <v>5.3849999999999998</v>
      </c>
      <c r="J128">
        <v>283.24999999999994</v>
      </c>
      <c r="K128">
        <v>20.503008423586042</v>
      </c>
    </row>
    <row r="129" spans="2:11" x14ac:dyDescent="0.35">
      <c r="B129">
        <v>10.125</v>
      </c>
      <c r="C129">
        <v>-9.6249000000000002</v>
      </c>
      <c r="D129">
        <v>-3.5557142857142843E-2</v>
      </c>
      <c r="E129">
        <v>-2.9954999999999999E-2</v>
      </c>
      <c r="F129">
        <v>9.7968000000000011</v>
      </c>
      <c r="G129">
        <v>-5.6797499999999985</v>
      </c>
      <c r="H129">
        <v>2.65E-3</v>
      </c>
      <c r="I129">
        <v>3.54</v>
      </c>
      <c r="J129">
        <v>311.99999999999989</v>
      </c>
      <c r="K129">
        <v>23.15042117930205</v>
      </c>
    </row>
    <row r="130" spans="2:11" x14ac:dyDescent="0.35">
      <c r="B130">
        <v>9.4486500000000007</v>
      </c>
      <c r="C130">
        <v>-13.1775</v>
      </c>
      <c r="D130">
        <v>4.2728571428571616E-3</v>
      </c>
      <c r="E130">
        <v>-0.136325</v>
      </c>
      <c r="F130">
        <v>19.232999999999997</v>
      </c>
      <c r="G130">
        <v>-7.5127500000000005</v>
      </c>
      <c r="H130">
        <v>3.6090000000000002E-3</v>
      </c>
      <c r="I130">
        <v>5.22</v>
      </c>
      <c r="J130">
        <v>140.74999999999989</v>
      </c>
      <c r="K130">
        <v>18.367027677496992</v>
      </c>
    </row>
    <row r="131" spans="2:11" x14ac:dyDescent="0.35">
      <c r="B131">
        <v>8.2417499999999997</v>
      </c>
      <c r="C131">
        <v>-4.8658000000000001</v>
      </c>
      <c r="D131">
        <v>-2.045714285714284E-2</v>
      </c>
      <c r="E131">
        <v>-3.6860000000000004E-2</v>
      </c>
      <c r="F131">
        <v>16.069000000000003</v>
      </c>
      <c r="G131">
        <v>-7.9402499999999989</v>
      </c>
      <c r="H131">
        <v>5.3680000000000004E-3</v>
      </c>
      <c r="I131">
        <v>6.9149999999999991</v>
      </c>
      <c r="J131">
        <v>506.99999999999994</v>
      </c>
      <c r="K131">
        <v>27.061371841155236</v>
      </c>
    </row>
    <row r="132" spans="2:11" x14ac:dyDescent="0.35">
      <c r="B132">
        <v>9.3702500000000004</v>
      </c>
      <c r="C132">
        <v>-13.172000000000001</v>
      </c>
      <c r="D132">
        <v>-0.10085714285714284</v>
      </c>
      <c r="E132">
        <v>-2.7584999999999998E-2</v>
      </c>
      <c r="F132">
        <v>17.747999999999998</v>
      </c>
      <c r="G132">
        <v>-11.06325</v>
      </c>
      <c r="H132">
        <v>6.5300000000000002E-3</v>
      </c>
      <c r="I132">
        <v>6.2399999999999993</v>
      </c>
      <c r="J132">
        <v>91.999999999999858</v>
      </c>
      <c r="K132">
        <v>19.299638989169679</v>
      </c>
    </row>
    <row r="133" spans="2:11" x14ac:dyDescent="0.35">
      <c r="B133">
        <v>8.3994</v>
      </c>
      <c r="C133">
        <v>-15.237500000000001</v>
      </c>
      <c r="D133">
        <v>-3.3957142857142839E-2</v>
      </c>
      <c r="E133">
        <v>-3.8115000000000003E-2</v>
      </c>
      <c r="F133">
        <v>15.384</v>
      </c>
      <c r="G133">
        <v>-8.6742500000000007</v>
      </c>
      <c r="H133">
        <v>1.6240000000000001E-2</v>
      </c>
      <c r="I133">
        <v>5.04</v>
      </c>
      <c r="J133">
        <v>446.99999999999989</v>
      </c>
      <c r="K133">
        <v>30.821901323706378</v>
      </c>
    </row>
    <row r="134" spans="2:11" x14ac:dyDescent="0.35">
      <c r="B134">
        <v>7.5098000000000003</v>
      </c>
      <c r="C134">
        <v>-15.652999999999999</v>
      </c>
      <c r="D134">
        <v>-1.7157142857142843E-2</v>
      </c>
      <c r="E134">
        <v>-3.7680000000000005E-2</v>
      </c>
      <c r="F134">
        <v>21.773</v>
      </c>
      <c r="G134">
        <v>-8.9787500000000016</v>
      </c>
      <c r="H134">
        <v>2.8010000000000001E-3</v>
      </c>
      <c r="I134">
        <v>7.5449999999999999</v>
      </c>
      <c r="J134">
        <v>233.24999999999997</v>
      </c>
      <c r="K134">
        <v>26.610108303249099</v>
      </c>
    </row>
    <row r="135" spans="2:11" x14ac:dyDescent="0.35">
      <c r="B135">
        <v>9.4717000000000002</v>
      </c>
      <c r="C135">
        <v>-14.313500000000001</v>
      </c>
      <c r="D135">
        <v>-4.0857142857142842E-2</v>
      </c>
      <c r="E135">
        <v>-3.3960000000000004E-2</v>
      </c>
      <c r="F135">
        <v>13.695499999999999</v>
      </c>
      <c r="G135">
        <v>-10.240250000000003</v>
      </c>
      <c r="H135">
        <v>1.444E-2</v>
      </c>
      <c r="I135">
        <v>5.52</v>
      </c>
      <c r="J135">
        <v>620.74999999999989</v>
      </c>
      <c r="K135">
        <v>25.948255114320098</v>
      </c>
    </row>
    <row r="136" spans="2:11" x14ac:dyDescent="0.35">
      <c r="B136">
        <v>7.5165000000000006</v>
      </c>
      <c r="C136">
        <v>-16.133500000000002</v>
      </c>
      <c r="D136">
        <v>-1.1471428571428327E-3</v>
      </c>
      <c r="E136">
        <v>-3.2704999999999998E-2</v>
      </c>
      <c r="F136">
        <v>20.810500000000001</v>
      </c>
      <c r="G136">
        <v>-9.414749999999998</v>
      </c>
      <c r="H136">
        <v>2.725E-3</v>
      </c>
      <c r="I136">
        <v>6.9449999999999994</v>
      </c>
      <c r="J136">
        <v>488.24999999999989</v>
      </c>
      <c r="K136">
        <v>33.318892900120339</v>
      </c>
    </row>
    <row r="137" spans="2:11" x14ac:dyDescent="0.35">
      <c r="B137">
        <v>9.6321000000000012</v>
      </c>
      <c r="C137">
        <v>-15.064</v>
      </c>
      <c r="D137">
        <v>1.9952857142857161E-2</v>
      </c>
      <c r="E137">
        <v>-2.7295E-2</v>
      </c>
      <c r="F137">
        <v>14.7585</v>
      </c>
      <c r="G137">
        <v>-7.0462500000000006</v>
      </c>
      <c r="H137">
        <v>2.6284999999999998E-3</v>
      </c>
      <c r="I137">
        <v>3.9750000000000001</v>
      </c>
      <c r="J137">
        <v>8.2499999999999236</v>
      </c>
      <c r="K137">
        <v>24.955475330926596</v>
      </c>
    </row>
    <row r="138" spans="2:11" x14ac:dyDescent="0.35">
      <c r="B138">
        <v>7.3338999999999999</v>
      </c>
      <c r="C138">
        <v>-14.617000000000001</v>
      </c>
      <c r="D138">
        <v>-3.9657142857142835E-2</v>
      </c>
      <c r="E138">
        <v>-3.7559999999999996E-2</v>
      </c>
      <c r="F138">
        <v>18.540500000000002</v>
      </c>
      <c r="G138">
        <v>-5.8012500000000031</v>
      </c>
      <c r="H138">
        <v>8.6049999999999998E-3</v>
      </c>
      <c r="I138">
        <v>6.81</v>
      </c>
      <c r="J138">
        <v>390.75</v>
      </c>
      <c r="K138">
        <v>27.332129963898918</v>
      </c>
    </row>
    <row r="139" spans="2:11" x14ac:dyDescent="0.35">
      <c r="B139">
        <v>9.4273500000000006</v>
      </c>
      <c r="C139">
        <v>-15.3645</v>
      </c>
      <c r="D139">
        <v>-1.5157142857142841E-2</v>
      </c>
      <c r="E139">
        <v>-3.5409999999999997E-2</v>
      </c>
      <c r="F139">
        <v>27.2605</v>
      </c>
      <c r="G139">
        <v>-13.52975</v>
      </c>
      <c r="H139">
        <v>1.8405000000000001E-2</v>
      </c>
      <c r="I139">
        <v>7.38</v>
      </c>
      <c r="J139">
        <v>179.49999999999994</v>
      </c>
      <c r="K139">
        <v>28.565583634175695</v>
      </c>
    </row>
    <row r="140" spans="2:11" x14ac:dyDescent="0.35">
      <c r="B140">
        <v>7.6133000000000006</v>
      </c>
      <c r="C140">
        <v>-8.5684500000000003</v>
      </c>
      <c r="D140">
        <v>4.1728571428571587E-3</v>
      </c>
      <c r="E140">
        <v>-3.193E-2</v>
      </c>
      <c r="F140">
        <v>12.7295</v>
      </c>
      <c r="G140">
        <v>-3.9067500000000006</v>
      </c>
      <c r="H140">
        <v>1.6799999999999999E-2</v>
      </c>
      <c r="I140">
        <v>6.54</v>
      </c>
      <c r="J140">
        <v>408.24999999999989</v>
      </c>
      <c r="K140">
        <v>29.979542719614926</v>
      </c>
    </row>
    <row r="141" spans="2:11" x14ac:dyDescent="0.35">
      <c r="B141">
        <v>7.8221500000000006</v>
      </c>
      <c r="C141">
        <v>-6.89175</v>
      </c>
      <c r="D141">
        <v>-2.8857142857142831E-2</v>
      </c>
      <c r="E141">
        <v>-2.7465E-2</v>
      </c>
      <c r="F141">
        <v>12.4803</v>
      </c>
      <c r="G141">
        <v>-5.7277500000000003</v>
      </c>
      <c r="H141">
        <v>2.9774999999999999E-2</v>
      </c>
      <c r="I141">
        <v>7.0349999999999993</v>
      </c>
      <c r="J141">
        <v>225.74999999999991</v>
      </c>
      <c r="K141">
        <v>37.891696750902526</v>
      </c>
    </row>
    <row r="142" spans="2:11" x14ac:dyDescent="0.35">
      <c r="B142">
        <v>6.6543000000000001</v>
      </c>
      <c r="C142">
        <v>-15.336</v>
      </c>
      <c r="D142">
        <v>2.3092857142857165E-2</v>
      </c>
      <c r="E142">
        <v>-2.7360000000000002E-2</v>
      </c>
      <c r="F142">
        <v>14.733000000000001</v>
      </c>
      <c r="G142">
        <v>-19.720750000000002</v>
      </c>
      <c r="H142">
        <v>9.5904999999999992E-4</v>
      </c>
      <c r="I142">
        <v>5.79</v>
      </c>
      <c r="J142">
        <v>480.74999999999989</v>
      </c>
      <c r="K142">
        <v>14.425992779783396</v>
      </c>
    </row>
    <row r="143" spans="2:11" x14ac:dyDescent="0.35">
      <c r="B143">
        <v>7.6839000000000004</v>
      </c>
      <c r="C143">
        <v>-12.439</v>
      </c>
      <c r="D143">
        <v>-5.6057142857142833E-2</v>
      </c>
      <c r="E143">
        <v>-3.0304999999999999E-2</v>
      </c>
      <c r="F143">
        <v>9.2056500000000003</v>
      </c>
      <c r="G143">
        <v>-3.6837500000000016</v>
      </c>
      <c r="H143">
        <v>1.308E-2</v>
      </c>
      <c r="I143">
        <v>6.3750000000000009</v>
      </c>
      <c r="J143">
        <v>466.99999999999989</v>
      </c>
      <c r="K143">
        <v>29.347773766546332</v>
      </c>
    </row>
    <row r="144" spans="2:11" x14ac:dyDescent="0.35">
      <c r="B144">
        <v>7.4567499999999995</v>
      </c>
      <c r="C144">
        <v>-9.0439499999999988</v>
      </c>
      <c r="D144">
        <v>1.9428571428571628E-3</v>
      </c>
      <c r="E144">
        <v>-3.7085E-2</v>
      </c>
      <c r="F144">
        <v>11.1266</v>
      </c>
      <c r="G144">
        <v>-4.4857499999999995</v>
      </c>
      <c r="H144">
        <v>2.6210000000000001E-2</v>
      </c>
      <c r="I144">
        <v>6.75</v>
      </c>
      <c r="J144">
        <v>465.74999999999989</v>
      </c>
      <c r="K144">
        <v>34.762936221419977</v>
      </c>
    </row>
    <row r="145" spans="2:11" x14ac:dyDescent="0.35">
      <c r="B145">
        <v>8.8612000000000002</v>
      </c>
      <c r="C145">
        <v>-6.2913499999999996</v>
      </c>
      <c r="D145">
        <v>-1.0407142857142837E-2</v>
      </c>
      <c r="E145">
        <v>-2.2960000000000001E-2</v>
      </c>
      <c r="F145">
        <v>11.071350000000001</v>
      </c>
      <c r="G145">
        <v>-4.2877500000000008</v>
      </c>
      <c r="H145">
        <v>1.20695E-2</v>
      </c>
      <c r="I145">
        <v>5.0399999999999991</v>
      </c>
      <c r="J145">
        <v>233.24999999999991</v>
      </c>
      <c r="K145">
        <v>26.459687123947052</v>
      </c>
    </row>
    <row r="146" spans="2:11" x14ac:dyDescent="0.35">
      <c r="B146">
        <v>10.949000000000002</v>
      </c>
      <c r="C146">
        <v>-3.9877000000000002</v>
      </c>
      <c r="D146">
        <v>-2.1857142857142839E-2</v>
      </c>
      <c r="E146">
        <v>-1.1900000000000001E-2</v>
      </c>
      <c r="F146">
        <v>8.8488500000000005</v>
      </c>
      <c r="G146">
        <v>-1.8932500000000019</v>
      </c>
      <c r="H146">
        <v>3.8909999999999999E-3</v>
      </c>
      <c r="I146">
        <v>2.2950000000000004</v>
      </c>
      <c r="J146">
        <v>153.24999999999989</v>
      </c>
      <c r="K146">
        <v>14.516245487364621</v>
      </c>
    </row>
    <row r="147" spans="2:11" x14ac:dyDescent="0.35">
      <c r="B147">
        <v>8.4700000000000006</v>
      </c>
      <c r="C147">
        <v>-4.9444499999999998</v>
      </c>
      <c r="D147">
        <v>-1.5457142857142836E-2</v>
      </c>
      <c r="E147">
        <v>-2.3219999999999998E-2</v>
      </c>
      <c r="F147">
        <v>12.5685</v>
      </c>
      <c r="G147">
        <v>-2.6547499999999999</v>
      </c>
      <c r="H147">
        <v>2.1054999999999997E-2</v>
      </c>
      <c r="I147">
        <v>4.74</v>
      </c>
      <c r="J147">
        <v>190.74999999999994</v>
      </c>
      <c r="K147">
        <v>40.117930204572801</v>
      </c>
    </row>
    <row r="148" spans="2:11" x14ac:dyDescent="0.35">
      <c r="B148">
        <v>9.0488499999999998</v>
      </c>
      <c r="C148">
        <v>-9.6183499999999995</v>
      </c>
      <c r="D148">
        <v>3.8528571428571579E-3</v>
      </c>
      <c r="E148">
        <v>-2.8424999999999999E-2</v>
      </c>
      <c r="F148">
        <v>11.224499999999999</v>
      </c>
      <c r="G148">
        <v>-3.2932500000000005</v>
      </c>
      <c r="H148">
        <v>2.7630000000000003E-3</v>
      </c>
      <c r="I148">
        <v>5.415</v>
      </c>
      <c r="J148">
        <v>456.99999999999989</v>
      </c>
      <c r="K148">
        <v>32.777376654632974</v>
      </c>
    </row>
    <row r="149" spans="2:11" x14ac:dyDescent="0.35">
      <c r="B149">
        <v>9.4120500000000007</v>
      </c>
      <c r="C149">
        <v>-13.129999999999999</v>
      </c>
      <c r="D149">
        <v>2.4132857142857164E-2</v>
      </c>
      <c r="E149">
        <v>-2.7654999999999999E-2</v>
      </c>
      <c r="F149">
        <v>9.4024999999999999</v>
      </c>
      <c r="G149">
        <v>-1.6417500000000018</v>
      </c>
      <c r="H149">
        <v>1.2397999999999999E-2</v>
      </c>
      <c r="I149">
        <v>5.64</v>
      </c>
      <c r="J149">
        <v>575.74999999999989</v>
      </c>
      <c r="K149">
        <v>26.219013237063777</v>
      </c>
    </row>
    <row r="150" spans="2:11" x14ac:dyDescent="0.35">
      <c r="B150">
        <v>9.1686499999999995</v>
      </c>
      <c r="C150">
        <v>-12.8245</v>
      </c>
      <c r="D150">
        <v>1.7028571428571587E-3</v>
      </c>
      <c r="E150">
        <v>-2.2589999999999999E-2</v>
      </c>
      <c r="F150">
        <v>9.3461499999999997</v>
      </c>
      <c r="G150">
        <v>-1.1077500000000011</v>
      </c>
      <c r="H150">
        <v>5.1090000000000007E-3</v>
      </c>
      <c r="I150">
        <v>5.76</v>
      </c>
      <c r="J150">
        <v>849.5</v>
      </c>
      <c r="K150">
        <v>30.400722021660648</v>
      </c>
    </row>
    <row r="151" spans="2:11" x14ac:dyDescent="0.35">
      <c r="B151">
        <v>9.6214999999999993</v>
      </c>
      <c r="C151">
        <v>-11.1195</v>
      </c>
      <c r="D151">
        <v>3.5432857142857162E-2</v>
      </c>
      <c r="E151">
        <v>-2.1194999999999999E-2</v>
      </c>
      <c r="F151">
        <v>11.184899999999999</v>
      </c>
      <c r="G151">
        <v>-3.2677500000000013</v>
      </c>
      <c r="H151">
        <v>4.6840000000000007E-3</v>
      </c>
      <c r="I151">
        <v>4.4550000000000001</v>
      </c>
      <c r="J151">
        <v>504.49999999999994</v>
      </c>
      <c r="K151">
        <v>22.458483754512635</v>
      </c>
    </row>
    <row r="152" spans="2:11" x14ac:dyDescent="0.35">
      <c r="B152">
        <v>8.7143999999999995</v>
      </c>
      <c r="C152">
        <v>-10.426349999999999</v>
      </c>
      <c r="D152">
        <v>5.4828571428571643E-3</v>
      </c>
      <c r="E152">
        <v>-2.1545000000000002E-2</v>
      </c>
      <c r="F152">
        <v>12.716999999999999</v>
      </c>
      <c r="G152">
        <v>-6.4327500000000022</v>
      </c>
      <c r="H152">
        <v>1.6410000000000001E-2</v>
      </c>
      <c r="I152">
        <v>6.7650000000000006</v>
      </c>
      <c r="J152">
        <v>254.49999999999994</v>
      </c>
      <c r="K152">
        <v>35.755716004813479</v>
      </c>
    </row>
    <row r="153" spans="2:11" x14ac:dyDescent="0.35">
      <c r="B153">
        <v>8.8660999999999994</v>
      </c>
      <c r="C153">
        <v>-11.96105</v>
      </c>
      <c r="D153">
        <v>3.6572857142857164E-2</v>
      </c>
      <c r="E153">
        <v>-2.5829999999999999E-2</v>
      </c>
      <c r="F153">
        <v>11.829000000000001</v>
      </c>
      <c r="G153">
        <v>-7.137750000000004</v>
      </c>
      <c r="H153">
        <v>5.0680000000000003E-2</v>
      </c>
      <c r="I153">
        <v>5.1150000000000002</v>
      </c>
      <c r="J153">
        <v>304.5</v>
      </c>
      <c r="K153">
        <v>33.770156438026476</v>
      </c>
    </row>
    <row r="154" spans="2:11" x14ac:dyDescent="0.35">
      <c r="B154">
        <v>10.1747</v>
      </c>
      <c r="C154">
        <v>-13.5655</v>
      </c>
      <c r="D154">
        <v>1.2232857142857156E-2</v>
      </c>
      <c r="E154">
        <v>-3.0259999999999999E-2</v>
      </c>
      <c r="F154">
        <v>11.440999999999999</v>
      </c>
      <c r="G154">
        <v>-5.235750000000003</v>
      </c>
      <c r="H154">
        <v>2.2440000000000002E-2</v>
      </c>
      <c r="I154">
        <v>5.2350000000000003</v>
      </c>
      <c r="J154">
        <v>710.75</v>
      </c>
      <c r="K154">
        <v>34.823104693140792</v>
      </c>
    </row>
    <row r="155" spans="2:11" x14ac:dyDescent="0.35">
      <c r="B155">
        <v>9.7067999999999994</v>
      </c>
      <c r="C155">
        <v>-8.8269000000000002</v>
      </c>
      <c r="D155">
        <v>3.1428571428571694E-3</v>
      </c>
      <c r="E155">
        <v>-1.8849999999999999E-2</v>
      </c>
      <c r="F155">
        <v>10.1053</v>
      </c>
      <c r="G155">
        <v>-3.3052500000000009</v>
      </c>
      <c r="H155">
        <v>7.5565000000000007E-3</v>
      </c>
      <c r="I155">
        <v>6.15</v>
      </c>
      <c r="J155">
        <v>234.49999999999991</v>
      </c>
      <c r="K155">
        <v>26.249097472924188</v>
      </c>
    </row>
    <row r="156" spans="2:11" x14ac:dyDescent="0.35">
      <c r="B156">
        <v>7.0092999999999996</v>
      </c>
      <c r="C156">
        <v>-5.1094500000000007</v>
      </c>
      <c r="D156">
        <v>8.5285714285716907E-4</v>
      </c>
      <c r="E156">
        <v>-2.2030000000000001E-2</v>
      </c>
      <c r="F156">
        <v>10.69425</v>
      </c>
      <c r="G156">
        <v>-3.8562500000000011</v>
      </c>
      <c r="H156">
        <v>7.8949999999999992E-3</v>
      </c>
      <c r="I156">
        <v>7.1549999999999994</v>
      </c>
      <c r="J156">
        <v>400.99999999999994</v>
      </c>
      <c r="K156">
        <v>39.847172081829122</v>
      </c>
    </row>
    <row r="157" spans="2:11" x14ac:dyDescent="0.35">
      <c r="B157">
        <v>9.7987000000000002</v>
      </c>
      <c r="C157">
        <v>-5.6951999999999998</v>
      </c>
      <c r="D157">
        <v>7.5828571428571689E-3</v>
      </c>
      <c r="E157">
        <v>-1.5130000000000001E-2</v>
      </c>
      <c r="F157">
        <v>7.1057500000000005</v>
      </c>
      <c r="G157">
        <v>-1.853250000000001</v>
      </c>
      <c r="H157">
        <v>2.6845000000000003E-3</v>
      </c>
      <c r="I157">
        <v>3.8250000000000002</v>
      </c>
      <c r="J157">
        <v>142.24999999999989</v>
      </c>
      <c r="K157">
        <v>17.283995186522265</v>
      </c>
    </row>
    <row r="158" spans="2:11" x14ac:dyDescent="0.35">
      <c r="B158">
        <v>8.4954000000000001</v>
      </c>
      <c r="C158">
        <v>-6.7548000000000004</v>
      </c>
      <c r="D158">
        <v>1.7902857142857165E-2</v>
      </c>
      <c r="E158">
        <v>-3.3055000000000001E-2</v>
      </c>
      <c r="F158">
        <v>14.685500000000001</v>
      </c>
      <c r="G158">
        <v>-9.0247500000000009</v>
      </c>
      <c r="H158">
        <v>1.2449999999999999E-2</v>
      </c>
      <c r="I158">
        <v>8.3249999999999993</v>
      </c>
      <c r="J158">
        <v>412.24999999999994</v>
      </c>
      <c r="K158">
        <v>29.257521058965104</v>
      </c>
    </row>
    <row r="159" spans="2:11" x14ac:dyDescent="0.35">
      <c r="B159">
        <v>9.8391999999999999</v>
      </c>
      <c r="C159">
        <v>-4.6798000000000002</v>
      </c>
      <c r="D159">
        <v>5.9428571428571664E-3</v>
      </c>
      <c r="E159">
        <v>-2.1944999999999999E-2</v>
      </c>
      <c r="F159">
        <v>6.96265</v>
      </c>
      <c r="G159">
        <v>-3.2677500000000013</v>
      </c>
      <c r="H159">
        <v>1.72E-3</v>
      </c>
      <c r="I159">
        <v>5.8650000000000002</v>
      </c>
      <c r="J159">
        <v>215.99999999999994</v>
      </c>
      <c r="K159">
        <v>24.05294825511432</v>
      </c>
    </row>
    <row r="160" spans="2:11" x14ac:dyDescent="0.35">
      <c r="B160">
        <v>7.9146000000000001</v>
      </c>
      <c r="C160">
        <v>-4.3429500000000001</v>
      </c>
      <c r="D160">
        <v>1.7002857142857167E-2</v>
      </c>
      <c r="E160">
        <v>-2.5555000000000001E-2</v>
      </c>
      <c r="F160">
        <v>10.367899999999999</v>
      </c>
      <c r="G160">
        <v>-3.933250000000001</v>
      </c>
      <c r="H160">
        <v>2.8435000000000001E-3</v>
      </c>
      <c r="I160">
        <v>6.3450000000000006</v>
      </c>
      <c r="J160">
        <v>558.5</v>
      </c>
      <c r="K160">
        <v>25.948255114320098</v>
      </c>
    </row>
    <row r="161" spans="2:11" x14ac:dyDescent="0.35">
      <c r="B161">
        <v>8.805299999999999</v>
      </c>
      <c r="C161">
        <v>-7.2124499999999996</v>
      </c>
      <c r="D161">
        <v>1.8722857142857166E-2</v>
      </c>
      <c r="E161">
        <v>-2.5660000000000002E-2</v>
      </c>
      <c r="F161">
        <v>11.132</v>
      </c>
      <c r="G161">
        <v>-4.5057500000000008</v>
      </c>
      <c r="H161">
        <v>2.1989999999999999E-2</v>
      </c>
      <c r="I161">
        <v>7.9949999999999992</v>
      </c>
      <c r="J161">
        <v>615.99999999999989</v>
      </c>
      <c r="K161">
        <v>28.445246690734059</v>
      </c>
    </row>
    <row r="162" spans="2:11" x14ac:dyDescent="0.35">
      <c r="B162">
        <v>8.9260000000000002</v>
      </c>
      <c r="C162">
        <v>-5.0702999999999996</v>
      </c>
      <c r="D162">
        <v>-1.1571428571428427E-3</v>
      </c>
      <c r="E162">
        <v>-2.3895E-2</v>
      </c>
      <c r="F162">
        <v>11.6905</v>
      </c>
      <c r="G162">
        <v>-6.4532500000000006</v>
      </c>
      <c r="H162">
        <v>1.5150000000000001E-3</v>
      </c>
      <c r="I162">
        <v>6.0600000000000005</v>
      </c>
      <c r="J162">
        <v>188.49999999999989</v>
      </c>
      <c r="K162">
        <v>22.488567990373046</v>
      </c>
    </row>
    <row r="163" spans="2:11" x14ac:dyDescent="0.35">
      <c r="B163">
        <v>10.702199999999999</v>
      </c>
      <c r="C163">
        <v>-3.63035</v>
      </c>
      <c r="D163">
        <v>-5.6857142857142828E-2</v>
      </c>
      <c r="E163">
        <v>-2.3349999999999999E-2</v>
      </c>
      <c r="F163">
        <v>10.580500000000001</v>
      </c>
      <c r="G163">
        <v>-4.4722500000000007</v>
      </c>
      <c r="H163">
        <v>7.8935000000000012E-3</v>
      </c>
      <c r="I163">
        <v>6.585</v>
      </c>
      <c r="J163">
        <v>362.24999999999989</v>
      </c>
      <c r="K163">
        <v>29.979542719614926</v>
      </c>
    </row>
    <row r="164" spans="2:11" x14ac:dyDescent="0.35">
      <c r="B164">
        <v>7.2797000000000001</v>
      </c>
      <c r="C164">
        <v>-14.9255</v>
      </c>
      <c r="D164">
        <v>-2.6557142857142835E-2</v>
      </c>
      <c r="E164">
        <v>-2.5599999999999998E-2</v>
      </c>
      <c r="F164">
        <v>18.107999999999997</v>
      </c>
      <c r="G164">
        <v>-4.3432500000000012</v>
      </c>
      <c r="H164">
        <v>6.7670000000000004E-3</v>
      </c>
      <c r="I164">
        <v>7.1849999999999996</v>
      </c>
      <c r="J164">
        <v>415.99999999999994</v>
      </c>
      <c r="K164">
        <v>22.819494584837546</v>
      </c>
    </row>
    <row r="165" spans="2:11" x14ac:dyDescent="0.35">
      <c r="B165">
        <v>8.3754500000000007</v>
      </c>
      <c r="C165">
        <v>-14.8825</v>
      </c>
      <c r="D165">
        <v>-4.4571428571428401E-3</v>
      </c>
      <c r="E165">
        <v>-2.3599999999999999E-2</v>
      </c>
      <c r="F165">
        <v>9.2196500000000015</v>
      </c>
      <c r="G165">
        <v>-6.9047499999999999</v>
      </c>
      <c r="H165">
        <v>1.0151E-2</v>
      </c>
      <c r="I165">
        <v>4.9050000000000002</v>
      </c>
      <c r="J165">
        <v>385.99999999999994</v>
      </c>
      <c r="K165">
        <v>18.006016847172084</v>
      </c>
    </row>
    <row r="166" spans="2:11" x14ac:dyDescent="0.35">
      <c r="B166">
        <v>7.5063499999999994</v>
      </c>
      <c r="C166">
        <v>-12.4575</v>
      </c>
      <c r="D166">
        <v>7.1428571428571591E-3</v>
      </c>
      <c r="E166">
        <v>-2.3155000000000002E-2</v>
      </c>
      <c r="F166">
        <v>9.8374500000000005</v>
      </c>
      <c r="G166">
        <v>-4.8807500000000026</v>
      </c>
      <c r="H166">
        <v>1.5383500000000001E-2</v>
      </c>
      <c r="I166">
        <v>5.58</v>
      </c>
      <c r="J166">
        <v>273.5</v>
      </c>
      <c r="K166">
        <v>18.397111913357399</v>
      </c>
    </row>
    <row r="167" spans="2:11" x14ac:dyDescent="0.35">
      <c r="B167">
        <v>7.42875</v>
      </c>
      <c r="C167">
        <v>-11.738</v>
      </c>
      <c r="D167">
        <v>1.1142857142857163E-2</v>
      </c>
      <c r="E167">
        <v>-0.16364500000000001</v>
      </c>
      <c r="F167">
        <v>5.1715999999999998</v>
      </c>
      <c r="G167">
        <v>-6.9092500000000001</v>
      </c>
      <c r="H167">
        <v>4.1950000000000008E-3</v>
      </c>
      <c r="I167">
        <v>6.0449999999999999</v>
      </c>
      <c r="J167">
        <v>646.39999999999986</v>
      </c>
      <c r="K167">
        <v>26.399518652226234</v>
      </c>
    </row>
    <row r="168" spans="2:11" x14ac:dyDescent="0.35">
      <c r="B168">
        <v>7.4959500000000006</v>
      </c>
      <c r="C168">
        <v>-13.102</v>
      </c>
      <c r="D168">
        <v>-0.10645714285714283</v>
      </c>
      <c r="E168">
        <v>-1.8419999999999999E-2</v>
      </c>
      <c r="F168">
        <v>7.1029499999999999</v>
      </c>
      <c r="G168">
        <v>-11.585750000000001</v>
      </c>
      <c r="H168">
        <v>4.8979999999999996E-2</v>
      </c>
      <c r="I168">
        <v>10.425000000000001</v>
      </c>
      <c r="J168">
        <v>608.39999999999986</v>
      </c>
      <c r="K168">
        <v>66.953068592057761</v>
      </c>
    </row>
    <row r="169" spans="2:11" x14ac:dyDescent="0.35">
      <c r="B169">
        <v>8.9126499999999993</v>
      </c>
      <c r="C169">
        <v>-15.212</v>
      </c>
      <c r="D169">
        <v>3.3142857142857161E-2</v>
      </c>
      <c r="E169">
        <v>-2.4324999999999999E-2</v>
      </c>
      <c r="F169">
        <v>8.638300000000001</v>
      </c>
      <c r="G169">
        <v>-8.5637499999999989</v>
      </c>
      <c r="H169">
        <v>4.1590000000000002E-2</v>
      </c>
      <c r="I169">
        <v>10.319999999999999</v>
      </c>
      <c r="J169">
        <v>634.39999999999986</v>
      </c>
      <c r="K169">
        <v>41.29121540312876</v>
      </c>
    </row>
    <row r="170" spans="2:11" x14ac:dyDescent="0.35">
      <c r="B170">
        <v>6.2662999999999993</v>
      </c>
      <c r="C170">
        <v>-16.610999999999997</v>
      </c>
      <c r="D170">
        <v>-0.14125714285714283</v>
      </c>
      <c r="E170">
        <v>-2.7890000000000002E-2</v>
      </c>
      <c r="F170">
        <v>9.3584999999999994</v>
      </c>
      <c r="G170">
        <v>-11.534750000000003</v>
      </c>
      <c r="H170">
        <v>8.1020000000000009E-2</v>
      </c>
      <c r="I170">
        <v>8.7000000000000011</v>
      </c>
      <c r="J170">
        <v>617.39999999999986</v>
      </c>
      <c r="K170">
        <v>39.305655836341757</v>
      </c>
    </row>
    <row r="171" spans="2:11" x14ac:dyDescent="0.35">
      <c r="B171">
        <v>6.4006500000000006</v>
      </c>
      <c r="C171">
        <v>-16.356499999999997</v>
      </c>
      <c r="D171">
        <v>2.5142857142857161E-2</v>
      </c>
      <c r="E171">
        <v>-1.542E-2</v>
      </c>
      <c r="F171">
        <v>9.7741499999999988</v>
      </c>
      <c r="G171">
        <v>-9.0647500000000001</v>
      </c>
      <c r="H171">
        <v>1.5865000000000001E-2</v>
      </c>
      <c r="I171">
        <v>8.9699999999999989</v>
      </c>
      <c r="J171">
        <v>582.40000000000009</v>
      </c>
      <c r="K171">
        <v>55.069795427196148</v>
      </c>
    </row>
    <row r="172" spans="2:11" x14ac:dyDescent="0.35">
      <c r="B172">
        <v>6.4361499999999996</v>
      </c>
      <c r="C172">
        <v>-16.442</v>
      </c>
      <c r="D172">
        <v>1.5892857142857167E-2</v>
      </c>
      <c r="E172">
        <v>-4.1309999999999999E-2</v>
      </c>
      <c r="F172">
        <v>9.6752000000000002</v>
      </c>
      <c r="G172">
        <v>-13.007750000000001</v>
      </c>
      <c r="H172">
        <v>6.9790000000000005E-2</v>
      </c>
      <c r="I172">
        <v>9.4350000000000005</v>
      </c>
      <c r="J172">
        <v>546.4</v>
      </c>
      <c r="K172">
        <v>36.598074608904938</v>
      </c>
    </row>
    <row r="173" spans="2:11" x14ac:dyDescent="0.35">
      <c r="B173">
        <v>6.8901000000000003</v>
      </c>
      <c r="C173">
        <v>-14.8765</v>
      </c>
      <c r="D173">
        <v>2.8172857142857159E-2</v>
      </c>
      <c r="E173">
        <v>-2.5454999999999998E-2</v>
      </c>
      <c r="F173">
        <v>9.0300499999999992</v>
      </c>
      <c r="G173">
        <v>-13.988250000000001</v>
      </c>
      <c r="H173">
        <v>5.2875000000000005E-2</v>
      </c>
      <c r="I173">
        <v>8.4449999999999985</v>
      </c>
      <c r="J173">
        <v>655.39999999999986</v>
      </c>
      <c r="K173">
        <v>53.264741275571595</v>
      </c>
    </row>
    <row r="174" spans="2:11" x14ac:dyDescent="0.35">
      <c r="B174">
        <v>8.5624000000000002</v>
      </c>
      <c r="C174">
        <v>-11.349500000000001</v>
      </c>
      <c r="D174">
        <v>3.9428571428571646E-3</v>
      </c>
      <c r="E174">
        <v>-4.1800000000000004E-2</v>
      </c>
      <c r="F174">
        <v>4.5006000000000004</v>
      </c>
      <c r="G174">
        <v>-10.033750000000001</v>
      </c>
      <c r="H174">
        <v>4.9049999999999996E-2</v>
      </c>
      <c r="I174">
        <v>9.7800000000000011</v>
      </c>
      <c r="J174">
        <v>608.39999999999986</v>
      </c>
      <c r="K174">
        <v>39.275571600481342</v>
      </c>
    </row>
    <row r="175" spans="2:11" x14ac:dyDescent="0.35">
      <c r="B175">
        <v>7.5874000000000006</v>
      </c>
      <c r="C175">
        <v>-26.097999999999999</v>
      </c>
      <c r="D175">
        <v>-2.5157142857142836E-2</v>
      </c>
      <c r="E175">
        <v>-1.924E-2</v>
      </c>
      <c r="F175">
        <v>14.196999999999999</v>
      </c>
      <c r="G175">
        <v>-8.8772500000000036</v>
      </c>
      <c r="H175">
        <v>1.8950000000000002E-2</v>
      </c>
      <c r="I175">
        <v>10.29</v>
      </c>
      <c r="J175">
        <v>647.39999999999986</v>
      </c>
      <c r="K175">
        <v>58.048134777376646</v>
      </c>
    </row>
    <row r="176" spans="2:11" x14ac:dyDescent="0.35">
      <c r="B176">
        <v>9.4665999999999997</v>
      </c>
      <c r="C176">
        <v>-18.328499999999998</v>
      </c>
      <c r="D176">
        <v>-3.3757142857142833E-2</v>
      </c>
      <c r="E176">
        <v>-1.422E-2</v>
      </c>
      <c r="F176">
        <v>14.2315</v>
      </c>
      <c r="G176">
        <v>-10.385249999999999</v>
      </c>
      <c r="H176">
        <v>1.669E-2</v>
      </c>
      <c r="I176">
        <v>9.06</v>
      </c>
      <c r="J176">
        <v>598.39999999999986</v>
      </c>
      <c r="K176">
        <v>46.646209386281583</v>
      </c>
    </row>
    <row r="177" spans="2:11" x14ac:dyDescent="0.35">
      <c r="B177">
        <v>6.8317999999999994</v>
      </c>
      <c r="C177">
        <v>-18.183999999999997</v>
      </c>
      <c r="D177">
        <v>-1.1357142857142843E-2</v>
      </c>
      <c r="E177">
        <v>-2.5835000000000004E-2</v>
      </c>
      <c r="F177">
        <v>21.353000000000002</v>
      </c>
      <c r="G177">
        <v>-12.523250000000001</v>
      </c>
      <c r="H177">
        <v>1.5900000000000001E-2</v>
      </c>
      <c r="I177">
        <v>8.7600000000000016</v>
      </c>
      <c r="J177">
        <v>593.39999999999986</v>
      </c>
      <c r="K177">
        <v>33.499398315282789</v>
      </c>
    </row>
    <row r="178" spans="2:11" x14ac:dyDescent="0.35">
      <c r="B178">
        <v>6.82395</v>
      </c>
      <c r="C178">
        <v>-18.045999999999999</v>
      </c>
      <c r="D178">
        <v>1.5762857142857162E-2</v>
      </c>
      <c r="E178">
        <v>-2.6529999999999998E-2</v>
      </c>
      <c r="F178">
        <v>8.8832500000000003</v>
      </c>
      <c r="G178">
        <v>-14.890750000000004</v>
      </c>
      <c r="H178">
        <v>2.0379999999999999E-2</v>
      </c>
      <c r="I178">
        <v>11.295</v>
      </c>
      <c r="J178">
        <v>643.39999999999986</v>
      </c>
      <c r="K178">
        <v>33.07821901323706</v>
      </c>
    </row>
    <row r="179" spans="2:11" x14ac:dyDescent="0.35">
      <c r="B179">
        <v>7.2577999999999996</v>
      </c>
      <c r="C179">
        <v>-17.376000000000001</v>
      </c>
      <c r="D179">
        <v>-1.7557142857142841E-2</v>
      </c>
      <c r="E179">
        <v>-3.2164999999999999E-2</v>
      </c>
      <c r="F179">
        <v>18.097000000000001</v>
      </c>
      <c r="G179">
        <v>-14.091250000000002</v>
      </c>
      <c r="H179">
        <v>6.6270000000000001E-3</v>
      </c>
      <c r="I179">
        <v>10.545000000000002</v>
      </c>
      <c r="J179">
        <v>560.39999999999986</v>
      </c>
      <c r="K179">
        <v>31.363417569193743</v>
      </c>
    </row>
    <row r="180" spans="2:11" x14ac:dyDescent="0.35">
      <c r="B180">
        <v>7.4283999999999999</v>
      </c>
      <c r="C180">
        <v>-18.321999999999999</v>
      </c>
      <c r="D180">
        <v>-3.3157142857142843E-2</v>
      </c>
      <c r="E180">
        <v>-5.0619999999999998E-2</v>
      </c>
      <c r="F180">
        <v>6.9963999999999995</v>
      </c>
      <c r="G180">
        <v>-11.997750000000003</v>
      </c>
      <c r="H180">
        <v>9.2929999999999992E-3</v>
      </c>
      <c r="I180">
        <v>9.7050000000000001</v>
      </c>
      <c r="J180">
        <v>724.39999999999986</v>
      </c>
      <c r="K180">
        <v>35.936221419975929</v>
      </c>
    </row>
    <row r="181" spans="2:11" x14ac:dyDescent="0.35">
      <c r="B181">
        <v>8.5852500000000003</v>
      </c>
      <c r="C181">
        <v>-18.927999999999997</v>
      </c>
      <c r="D181">
        <v>-4.8257142857142832E-2</v>
      </c>
      <c r="E181">
        <v>-2.3495000000000002E-2</v>
      </c>
      <c r="F181">
        <v>12.328600000000002</v>
      </c>
      <c r="G181">
        <v>-16.437249999999999</v>
      </c>
      <c r="H181">
        <v>1.0319999999999999E-2</v>
      </c>
      <c r="I181">
        <v>10.020000000000001</v>
      </c>
      <c r="J181">
        <v>448.4</v>
      </c>
      <c r="K181">
        <v>41.561973525872446</v>
      </c>
    </row>
    <row r="182" spans="2:11" x14ac:dyDescent="0.35">
      <c r="B182">
        <v>6.2420499999999999</v>
      </c>
      <c r="C182">
        <v>-17.875500000000002</v>
      </c>
      <c r="D182">
        <v>-2.1757142857142836E-2</v>
      </c>
      <c r="E182">
        <v>-3.0809999999999997E-2</v>
      </c>
      <c r="F182">
        <v>6.9867500000000007</v>
      </c>
      <c r="G182">
        <v>-12.68375</v>
      </c>
      <c r="H182">
        <v>2.0639999999999999E-2</v>
      </c>
      <c r="I182">
        <v>12.6</v>
      </c>
      <c r="J182">
        <v>543.39999999999986</v>
      </c>
      <c r="K182">
        <v>47.518652226233456</v>
      </c>
    </row>
    <row r="183" spans="2:11" x14ac:dyDescent="0.35">
      <c r="B183">
        <v>5.3812499999999996</v>
      </c>
      <c r="C183">
        <v>-18.926500000000001</v>
      </c>
      <c r="D183">
        <v>-4.5557142857142824E-2</v>
      </c>
      <c r="E183">
        <v>-3.0759999999999999E-2</v>
      </c>
      <c r="F183">
        <v>25.291</v>
      </c>
      <c r="G183">
        <v>-21.435250000000003</v>
      </c>
      <c r="H183">
        <v>1.2710000000000001E-2</v>
      </c>
      <c r="I183">
        <v>10.485000000000001</v>
      </c>
      <c r="J183">
        <v>645.39999999999986</v>
      </c>
      <c r="K183">
        <v>32.687123947051738</v>
      </c>
    </row>
    <row r="184" spans="2:11" x14ac:dyDescent="0.35">
      <c r="B184">
        <v>6.3974500000000001</v>
      </c>
      <c r="C184">
        <v>-18.576000000000001</v>
      </c>
      <c r="D184">
        <v>2.972857142857166E-3</v>
      </c>
      <c r="E184">
        <v>-2.0615000000000001E-2</v>
      </c>
      <c r="F184">
        <v>13.100999999999999</v>
      </c>
      <c r="G184">
        <v>-11.83925</v>
      </c>
      <c r="H184">
        <v>1.12E-2</v>
      </c>
      <c r="I184">
        <v>10.59</v>
      </c>
      <c r="J184">
        <v>613.39999999999986</v>
      </c>
      <c r="K184">
        <v>63.25270758122744</v>
      </c>
    </row>
    <row r="185" spans="2:11" x14ac:dyDescent="0.35">
      <c r="B185">
        <v>6.9737999999999998</v>
      </c>
      <c r="C185">
        <v>-18.262499999999999</v>
      </c>
      <c r="D185">
        <v>-1.7757142857142832E-2</v>
      </c>
      <c r="E185">
        <v>-2.6845000000000001E-2</v>
      </c>
      <c r="F185">
        <v>34.881999999999998</v>
      </c>
      <c r="G185">
        <v>-15.146250000000002</v>
      </c>
      <c r="H185">
        <v>4.5975E-3</v>
      </c>
      <c r="I185">
        <v>10.74</v>
      </c>
      <c r="J185">
        <v>449.39999999999986</v>
      </c>
      <c r="K185">
        <v>52.42238267148015</v>
      </c>
    </row>
    <row r="186" spans="2:11" x14ac:dyDescent="0.35">
      <c r="B186">
        <v>10.042349999999999</v>
      </c>
      <c r="C186">
        <v>-17.660499999999999</v>
      </c>
      <c r="D186">
        <v>-3.2657142857142843E-2</v>
      </c>
      <c r="E186">
        <v>-3.0475000000000002E-2</v>
      </c>
      <c r="F186">
        <v>24.435000000000002</v>
      </c>
      <c r="G186">
        <v>-12.46425</v>
      </c>
      <c r="H186">
        <v>2.5350000000000004E-3</v>
      </c>
      <c r="I186">
        <v>8.6999999999999993</v>
      </c>
      <c r="J186">
        <v>440.39999999999986</v>
      </c>
      <c r="K186">
        <v>30.611311672683513</v>
      </c>
    </row>
    <row r="187" spans="2:11" x14ac:dyDescent="0.35">
      <c r="B187">
        <v>6.4665999999999997</v>
      </c>
      <c r="C187">
        <v>-18.545000000000002</v>
      </c>
      <c r="D187">
        <v>-2.1557142857142844E-2</v>
      </c>
      <c r="E187">
        <v>-2.1054999999999997E-2</v>
      </c>
      <c r="F187">
        <v>27.9025</v>
      </c>
      <c r="G187">
        <v>-12.91675</v>
      </c>
      <c r="H187">
        <v>3.9690000000000003E-3</v>
      </c>
      <c r="I187">
        <v>8.2349999999999994</v>
      </c>
      <c r="J187">
        <v>588.39999999999986</v>
      </c>
      <c r="K187">
        <v>41.832731648616125</v>
      </c>
    </row>
    <row r="188" spans="2:11" x14ac:dyDescent="0.35">
      <c r="B188">
        <v>6.8452999999999999</v>
      </c>
      <c r="C188">
        <v>-24.622</v>
      </c>
      <c r="D188">
        <v>-3.5557142857142843E-2</v>
      </c>
      <c r="E188">
        <v>-2.3165000000000002E-2</v>
      </c>
      <c r="F188">
        <v>25.0185</v>
      </c>
      <c r="G188">
        <v>-24.741750000000003</v>
      </c>
      <c r="H188">
        <v>1.068E-2</v>
      </c>
      <c r="I188">
        <v>10.86</v>
      </c>
      <c r="J188">
        <v>677.4</v>
      </c>
      <c r="K188">
        <v>40.388688327316487</v>
      </c>
    </row>
    <row r="189" spans="2:11" x14ac:dyDescent="0.35">
      <c r="B189">
        <v>6.492</v>
      </c>
      <c r="C189">
        <v>-17.456499999999998</v>
      </c>
      <c r="D189">
        <v>-2.2257142857142836E-2</v>
      </c>
      <c r="E189">
        <v>-2.5499999999999998E-2</v>
      </c>
      <c r="F189">
        <v>19.07</v>
      </c>
      <c r="G189">
        <v>-13.649250000000002</v>
      </c>
      <c r="H189">
        <v>6.6980000000000008E-3</v>
      </c>
      <c r="I189">
        <v>12.690000000000001</v>
      </c>
      <c r="J189">
        <v>564.4</v>
      </c>
      <c r="K189">
        <v>56.303249097472921</v>
      </c>
    </row>
    <row r="190" spans="2:11" x14ac:dyDescent="0.35">
      <c r="B190">
        <v>7.7193500000000004</v>
      </c>
      <c r="C190">
        <v>-16.161999999999999</v>
      </c>
      <c r="D190">
        <v>-9.0957142857142848E-2</v>
      </c>
      <c r="E190">
        <v>-2.2234999999999998E-2</v>
      </c>
      <c r="F190">
        <v>17.356000000000002</v>
      </c>
      <c r="G190">
        <v>-16.368250000000003</v>
      </c>
      <c r="H190">
        <v>2.5260000000000001E-2</v>
      </c>
      <c r="I190">
        <v>9.9599999999999991</v>
      </c>
      <c r="J190">
        <v>515.4</v>
      </c>
      <c r="K190">
        <v>51.670276774969913</v>
      </c>
    </row>
    <row r="191" spans="2:11" x14ac:dyDescent="0.35">
      <c r="B191">
        <v>5.5536500000000002</v>
      </c>
      <c r="C191">
        <v>-14.509</v>
      </c>
      <c r="D191">
        <v>3.5142857142857163E-2</v>
      </c>
      <c r="E191">
        <v>-1.06E-2</v>
      </c>
      <c r="F191">
        <v>23.463999999999999</v>
      </c>
      <c r="G191">
        <v>-13.360749999999999</v>
      </c>
      <c r="H191">
        <v>2.664E-2</v>
      </c>
      <c r="I191">
        <v>12</v>
      </c>
      <c r="J191">
        <v>545.39999999999986</v>
      </c>
      <c r="K191">
        <v>37.651022864019254</v>
      </c>
    </row>
    <row r="192" spans="2:11" x14ac:dyDescent="0.35">
      <c r="B192">
        <v>6.7003500000000003</v>
      </c>
      <c r="C192">
        <v>-14.145</v>
      </c>
      <c r="D192">
        <v>3.0052857142857166E-2</v>
      </c>
      <c r="E192">
        <v>-1.7455000000000001E-3</v>
      </c>
      <c r="F192">
        <v>16.095500000000001</v>
      </c>
      <c r="G192">
        <v>-7.8427500000000023</v>
      </c>
      <c r="H192">
        <v>2.027E-2</v>
      </c>
      <c r="I192">
        <v>10.079999999999998</v>
      </c>
      <c r="J192">
        <v>657.39999999999986</v>
      </c>
      <c r="K192">
        <v>72.157641395908541</v>
      </c>
    </row>
    <row r="193" spans="2:11" x14ac:dyDescent="0.35">
      <c r="B193">
        <v>6.1694499999999994</v>
      </c>
      <c r="C193">
        <v>-10.3505</v>
      </c>
      <c r="D193">
        <v>1.623285714285716E-2</v>
      </c>
      <c r="E193">
        <v>-2.545E-2</v>
      </c>
      <c r="F193">
        <v>11.478999999999999</v>
      </c>
      <c r="G193">
        <v>-7.0097500000000004</v>
      </c>
      <c r="H193">
        <v>9.0115000000000004E-3</v>
      </c>
      <c r="I193">
        <v>11.565</v>
      </c>
      <c r="J193">
        <v>725.39999999999986</v>
      </c>
      <c r="K193">
        <v>53.896510228640196</v>
      </c>
    </row>
    <row r="194" spans="2:11" x14ac:dyDescent="0.35">
      <c r="B194">
        <v>4.2350000000000003</v>
      </c>
      <c r="C194">
        <v>-14.9415</v>
      </c>
      <c r="D194">
        <v>4.714285714285716E-2</v>
      </c>
      <c r="E194">
        <v>-2.3475000000000003E-2</v>
      </c>
      <c r="F194">
        <v>23.060499999999998</v>
      </c>
      <c r="G194">
        <v>-8.7907500000000027</v>
      </c>
      <c r="H194">
        <v>1.137E-2</v>
      </c>
      <c r="I194">
        <v>11.58</v>
      </c>
      <c r="J194">
        <v>731.4</v>
      </c>
      <c r="K194">
        <v>50.406738868832733</v>
      </c>
    </row>
    <row r="195" spans="2:11" x14ac:dyDescent="0.35">
      <c r="B195">
        <v>6.4286000000000003</v>
      </c>
      <c r="C195">
        <v>-14.92</v>
      </c>
      <c r="D195">
        <v>-2.4457142857142844E-2</v>
      </c>
      <c r="E195">
        <v>-1.7495E-2</v>
      </c>
      <c r="F195">
        <v>26.62</v>
      </c>
      <c r="G195">
        <v>-9.4352499999999999</v>
      </c>
      <c r="H195">
        <v>6.0049999999999999E-3</v>
      </c>
      <c r="I195">
        <v>10.875</v>
      </c>
      <c r="J195">
        <v>571.39999999999986</v>
      </c>
      <c r="K195">
        <v>60.906137184115529</v>
      </c>
    </row>
    <row r="196" spans="2:11" x14ac:dyDescent="0.35">
      <c r="B196">
        <v>6.9795999999999996</v>
      </c>
      <c r="C196">
        <v>-15.102499999999999</v>
      </c>
      <c r="D196">
        <v>-9.5257142857142846E-2</v>
      </c>
      <c r="E196">
        <v>-1.7545000000000002E-2</v>
      </c>
      <c r="F196">
        <v>20.292000000000002</v>
      </c>
      <c r="G196">
        <v>-9.6177500000000009</v>
      </c>
      <c r="H196">
        <v>7.8910000000000004E-3</v>
      </c>
      <c r="I196">
        <v>8.6549999999999994</v>
      </c>
      <c r="J196">
        <v>629.39999999999986</v>
      </c>
      <c r="K196">
        <v>46.435619735258726</v>
      </c>
    </row>
    <row r="197" spans="2:11" x14ac:dyDescent="0.35">
      <c r="B197">
        <v>7.1951000000000001</v>
      </c>
      <c r="C197">
        <v>-18.637999999999998</v>
      </c>
      <c r="D197">
        <v>-6.3057142857142839E-2</v>
      </c>
      <c r="E197">
        <v>-5.7079999999999999E-2</v>
      </c>
      <c r="F197">
        <v>21.094999999999999</v>
      </c>
      <c r="G197">
        <v>-12.756250000000001</v>
      </c>
      <c r="H197">
        <v>4.5069999999999997E-3</v>
      </c>
      <c r="I197">
        <v>7.5449999999999999</v>
      </c>
      <c r="J197">
        <v>454.39999999999992</v>
      </c>
      <c r="K197">
        <v>64.967509025270772</v>
      </c>
    </row>
    <row r="198" spans="2:11" x14ac:dyDescent="0.35">
      <c r="B198">
        <v>4.7953999999999999</v>
      </c>
      <c r="C198">
        <v>-17.683500000000002</v>
      </c>
      <c r="D198">
        <v>-7.0557142857142846E-2</v>
      </c>
      <c r="E198">
        <v>-7.9600000000000001E-3</v>
      </c>
      <c r="F198">
        <v>32.472999999999999</v>
      </c>
      <c r="G198">
        <v>-11.79325</v>
      </c>
      <c r="H198">
        <v>3.9935000000000005E-3</v>
      </c>
      <c r="I198">
        <v>9.5549999999999997</v>
      </c>
      <c r="J198">
        <v>469.39999999999992</v>
      </c>
      <c r="K198">
        <v>39.335740072202171</v>
      </c>
    </row>
    <row r="199" spans="2:11" x14ac:dyDescent="0.35">
      <c r="B199">
        <v>5.7184999999999997</v>
      </c>
      <c r="C199">
        <v>-15.0625</v>
      </c>
      <c r="D199">
        <v>-6.5271428571428425E-3</v>
      </c>
      <c r="E199">
        <v>-1.013E-2</v>
      </c>
      <c r="F199">
        <v>23.7515</v>
      </c>
      <c r="G199">
        <v>-19.126250000000002</v>
      </c>
      <c r="H199">
        <v>1.9059E-2</v>
      </c>
      <c r="I199">
        <v>10.169999999999998</v>
      </c>
      <c r="J199">
        <v>461.39999999999992</v>
      </c>
      <c r="K199">
        <v>49.444043321299631</v>
      </c>
    </row>
    <row r="200" spans="2:11" x14ac:dyDescent="0.35">
      <c r="B200">
        <v>6.7963000000000005</v>
      </c>
      <c r="C200">
        <v>-12.699</v>
      </c>
      <c r="D200">
        <v>3.8128571428571595E-3</v>
      </c>
      <c r="E200">
        <v>-7.3200000000000001E-3</v>
      </c>
      <c r="F200">
        <v>21.875499999999999</v>
      </c>
      <c r="G200">
        <v>-9.6052500000000016</v>
      </c>
      <c r="H200">
        <v>1.4141000000000001E-2</v>
      </c>
      <c r="I200">
        <v>8.5200000000000014</v>
      </c>
      <c r="J200">
        <v>558.39999999999986</v>
      </c>
      <c r="K200">
        <v>46.616125150421183</v>
      </c>
    </row>
    <row r="201" spans="2:11" x14ac:dyDescent="0.35">
      <c r="B201">
        <v>6.3246000000000002</v>
      </c>
      <c r="C201">
        <v>-15.6355</v>
      </c>
      <c r="D201">
        <v>4.0428571428571675E-3</v>
      </c>
      <c r="E201">
        <v>-9.2899999999999996E-3</v>
      </c>
      <c r="F201">
        <v>16.782</v>
      </c>
      <c r="G201">
        <v>-4.9872499999999995</v>
      </c>
      <c r="H201">
        <v>6.5699999999999995E-3</v>
      </c>
      <c r="I201">
        <v>8.91</v>
      </c>
      <c r="J201">
        <v>548.39999999999986</v>
      </c>
      <c r="K201">
        <v>41.381468110709989</v>
      </c>
    </row>
    <row r="202" spans="2:11" x14ac:dyDescent="0.35">
      <c r="B202">
        <v>6.8825000000000003</v>
      </c>
      <c r="C202">
        <v>-12.109500000000001</v>
      </c>
      <c r="D202">
        <v>1.7332857142857164E-2</v>
      </c>
      <c r="E202">
        <v>-1.2449999999999999E-2</v>
      </c>
      <c r="F202">
        <v>30.704000000000001</v>
      </c>
      <c r="G202">
        <v>-12.113250000000001</v>
      </c>
      <c r="H202">
        <v>9.8589999999999997E-3</v>
      </c>
      <c r="I202">
        <v>8.8949999999999996</v>
      </c>
      <c r="J202">
        <v>670.39999999999986</v>
      </c>
      <c r="K202">
        <v>49.925391095066182</v>
      </c>
    </row>
    <row r="203" spans="2:11" x14ac:dyDescent="0.35">
      <c r="B203">
        <v>5.4674500000000004</v>
      </c>
      <c r="C203">
        <v>-15.388500000000001</v>
      </c>
      <c r="D203">
        <v>3.2028571428571601E-3</v>
      </c>
      <c r="E203">
        <v>-6.195E-3</v>
      </c>
      <c r="F203">
        <v>17.210999999999999</v>
      </c>
      <c r="G203">
        <v>-8.1267500000000013</v>
      </c>
      <c r="H203">
        <v>3.2524999999999998E-2</v>
      </c>
      <c r="I203">
        <v>10.5</v>
      </c>
      <c r="J203">
        <v>627.39999999999986</v>
      </c>
      <c r="K203">
        <v>47.067388688327313</v>
      </c>
    </row>
    <row r="204" spans="2:11" x14ac:dyDescent="0.35">
      <c r="B204">
        <v>7.25875</v>
      </c>
      <c r="C204">
        <v>-12.7745</v>
      </c>
      <c r="D204">
        <v>-2.1957142857142842E-2</v>
      </c>
      <c r="E204">
        <v>-6.6129999999999994E-2</v>
      </c>
      <c r="F204">
        <v>16.433999999999997</v>
      </c>
      <c r="G204">
        <v>-15.001249999999999</v>
      </c>
      <c r="H204">
        <v>2.3120000000000002E-2</v>
      </c>
      <c r="I204">
        <v>8.8650000000000002</v>
      </c>
      <c r="J204">
        <v>637.39999999999986</v>
      </c>
      <c r="K204">
        <v>33.559566787003604</v>
      </c>
    </row>
    <row r="205" spans="2:11" x14ac:dyDescent="0.35">
      <c r="B205">
        <v>7.0042500000000008</v>
      </c>
      <c r="C205">
        <v>-15.0565</v>
      </c>
      <c r="D205">
        <v>-2.2957142857142843E-2</v>
      </c>
      <c r="E205">
        <v>-2.0764999999999999E-2</v>
      </c>
      <c r="F205">
        <v>29.975999999999999</v>
      </c>
      <c r="G205">
        <v>-13.244250000000001</v>
      </c>
      <c r="H205">
        <v>1.7239999999999998E-2</v>
      </c>
      <c r="I205">
        <v>10.215</v>
      </c>
      <c r="J205">
        <v>651.39999999999986</v>
      </c>
      <c r="K205">
        <v>57.005214600882475</v>
      </c>
    </row>
    <row r="206" spans="2:11" x14ac:dyDescent="0.35">
      <c r="B206">
        <v>8.3765499999999999</v>
      </c>
      <c r="C206">
        <v>-14.9345</v>
      </c>
      <c r="D206">
        <v>-3.8657142857142834E-2</v>
      </c>
      <c r="E206">
        <v>-1.0345E-2</v>
      </c>
      <c r="F206">
        <v>20.202500000000001</v>
      </c>
      <c r="G206">
        <v>-13.365750000000002</v>
      </c>
      <c r="H206">
        <v>1.2630000000000001E-2</v>
      </c>
      <c r="I206">
        <v>9.09</v>
      </c>
      <c r="J206">
        <v>466.39999999999986</v>
      </c>
      <c r="K206">
        <v>75.376654632972333</v>
      </c>
    </row>
    <row r="207" spans="2:11" x14ac:dyDescent="0.35">
      <c r="B207">
        <v>7.0069999999999997</v>
      </c>
      <c r="C207">
        <v>-16.923000000000002</v>
      </c>
      <c r="D207">
        <v>-3.4857142857142837E-2</v>
      </c>
      <c r="E207">
        <v>-5.5149999999999999E-3</v>
      </c>
      <c r="F207">
        <v>16.3125</v>
      </c>
      <c r="G207">
        <v>-5.4387499999999989</v>
      </c>
      <c r="H207">
        <v>1.5630000000000002E-2</v>
      </c>
      <c r="I207">
        <v>9.5400000000000009</v>
      </c>
      <c r="J207">
        <v>446</v>
      </c>
      <c r="K207">
        <v>39.335740072202164</v>
      </c>
    </row>
    <row r="208" spans="2:11" x14ac:dyDescent="0.35">
      <c r="B208">
        <v>7.7574000000000005</v>
      </c>
      <c r="C208">
        <v>-16.061</v>
      </c>
      <c r="D208">
        <v>-1.9257142857142834E-2</v>
      </c>
      <c r="E208">
        <v>-1.3475000000000001E-2</v>
      </c>
      <c r="F208">
        <v>26.753999999999998</v>
      </c>
      <c r="G208">
        <v>-12.166250000000002</v>
      </c>
      <c r="H208">
        <v>1.866E-3</v>
      </c>
      <c r="I208">
        <v>9.8399999999999981</v>
      </c>
      <c r="J208">
        <v>416</v>
      </c>
      <c r="K208">
        <v>36.26714801444043</v>
      </c>
    </row>
    <row r="209" spans="2:11" x14ac:dyDescent="0.35">
      <c r="B209">
        <v>6.4076000000000004</v>
      </c>
      <c r="C209">
        <v>-15.453999999999999</v>
      </c>
      <c r="D209">
        <v>1.8852857142857157E-2</v>
      </c>
      <c r="E209">
        <v>-1.8384999999999999E-2</v>
      </c>
      <c r="F209">
        <v>26.488</v>
      </c>
      <c r="G209">
        <v>-23.296250000000001</v>
      </c>
      <c r="H209">
        <v>2.053E-2</v>
      </c>
      <c r="I209">
        <v>12.375</v>
      </c>
      <c r="J209">
        <v>592.25</v>
      </c>
      <c r="K209">
        <v>47.097472924187727</v>
      </c>
    </row>
    <row r="210" spans="2:11" x14ac:dyDescent="0.35">
      <c r="B210">
        <v>6.1978</v>
      </c>
      <c r="C210">
        <v>-14.881499999999999</v>
      </c>
      <c r="D210">
        <v>-3.7271428571428317E-3</v>
      </c>
      <c r="E210">
        <v>-3.9900000000000005E-3</v>
      </c>
      <c r="F210">
        <v>17.859000000000002</v>
      </c>
      <c r="G210">
        <v>-21.445250000000001</v>
      </c>
      <c r="H210">
        <v>8.2974999999999993E-3</v>
      </c>
      <c r="I210">
        <v>8.49</v>
      </c>
      <c r="J210">
        <v>668.5</v>
      </c>
      <c r="K210">
        <v>63.373044524669083</v>
      </c>
    </row>
    <row r="211" spans="2:11" x14ac:dyDescent="0.35">
      <c r="B211">
        <v>8.5239499999999992</v>
      </c>
      <c r="C211">
        <v>-15.576999999999998</v>
      </c>
      <c r="D211">
        <v>-1.0957142857142832E-2</v>
      </c>
      <c r="E211">
        <v>-1.32E-2</v>
      </c>
      <c r="F211">
        <v>24.141999999999999</v>
      </c>
      <c r="G211">
        <v>-11.083750000000002</v>
      </c>
      <c r="H211">
        <v>9.0000000000000011E-3</v>
      </c>
      <c r="I211">
        <v>10.41</v>
      </c>
      <c r="J211">
        <v>597.24999999999977</v>
      </c>
      <c r="K211">
        <v>40.719614921780988</v>
      </c>
    </row>
    <row r="212" spans="2:11" x14ac:dyDescent="0.35">
      <c r="B212">
        <v>8.41995</v>
      </c>
      <c r="C212">
        <v>-16.806000000000001</v>
      </c>
      <c r="D212">
        <v>-2.045714285714284E-2</v>
      </c>
      <c r="E212">
        <v>-1.9799999999999998E-2</v>
      </c>
      <c r="F212">
        <v>22.838000000000001</v>
      </c>
      <c r="G212">
        <v>-8.5522500000000008</v>
      </c>
      <c r="H212">
        <v>3.1965000000000006E-3</v>
      </c>
      <c r="I212">
        <v>9.0150000000000006</v>
      </c>
      <c r="J212">
        <v>337.24999999999989</v>
      </c>
      <c r="K212">
        <v>42.825511432009627</v>
      </c>
    </row>
    <row r="213" spans="2:11" x14ac:dyDescent="0.35">
      <c r="B213">
        <v>7.8512500000000003</v>
      </c>
      <c r="C213">
        <v>-15.834499999999998</v>
      </c>
      <c r="D213">
        <v>-2.0657142857142832E-2</v>
      </c>
      <c r="E213">
        <v>-1.0145000000000001E-2</v>
      </c>
      <c r="F213">
        <v>29.515000000000001</v>
      </c>
      <c r="G213">
        <v>-12.97025</v>
      </c>
      <c r="H213">
        <v>3.496E-3</v>
      </c>
      <c r="I213">
        <v>7.26</v>
      </c>
      <c r="J213">
        <v>462.24999999999989</v>
      </c>
      <c r="K213">
        <v>27.693140794223829</v>
      </c>
    </row>
    <row r="214" spans="2:11" x14ac:dyDescent="0.35">
      <c r="B214">
        <v>8.7528499999999987</v>
      </c>
      <c r="C214">
        <v>-16.644500000000001</v>
      </c>
      <c r="D214">
        <v>-1.6857142857142834E-2</v>
      </c>
      <c r="E214">
        <v>-1.7375000000000002E-2</v>
      </c>
      <c r="F214">
        <v>32.151000000000003</v>
      </c>
      <c r="G214">
        <v>-14.314250000000001</v>
      </c>
      <c r="H214">
        <v>2.4935000000000001E-3</v>
      </c>
      <c r="I214">
        <v>6.9750000000000005</v>
      </c>
      <c r="J214">
        <v>598.49999999999989</v>
      </c>
      <c r="K214">
        <v>29.979542719614923</v>
      </c>
    </row>
    <row r="215" spans="2:11" x14ac:dyDescent="0.35">
      <c r="B215">
        <v>6.0281500000000001</v>
      </c>
      <c r="C215">
        <v>-18.223500000000001</v>
      </c>
      <c r="D215">
        <v>-4.7157142857142842E-2</v>
      </c>
      <c r="E215">
        <v>-6.5700000000000003E-4</v>
      </c>
      <c r="F215">
        <v>15.237500000000001</v>
      </c>
      <c r="G215">
        <v>-13.005749999999999</v>
      </c>
      <c r="H215">
        <v>6.4250000000000002E-2</v>
      </c>
      <c r="I215">
        <v>7.7925000000000013</v>
      </c>
      <c r="J215">
        <v>483.49999999999989</v>
      </c>
      <c r="K215">
        <v>30.069795427196148</v>
      </c>
    </row>
    <row r="216" spans="2:11" x14ac:dyDescent="0.35">
      <c r="B216">
        <v>6.9370500000000002</v>
      </c>
      <c r="C216">
        <v>-17.9465</v>
      </c>
      <c r="D216">
        <v>-5.6957142857142845E-2</v>
      </c>
      <c r="E216">
        <v>-1.7090000000000001E-2</v>
      </c>
      <c r="F216">
        <v>11.3345</v>
      </c>
      <c r="G216">
        <v>-16.317250000000001</v>
      </c>
      <c r="H216">
        <v>2.2855E-2</v>
      </c>
      <c r="I216">
        <v>7.8825000000000012</v>
      </c>
      <c r="J216">
        <v>459.75</v>
      </c>
      <c r="K216">
        <v>43.186522262334535</v>
      </c>
    </row>
    <row r="217" spans="2:11" x14ac:dyDescent="0.35">
      <c r="B217">
        <v>6.6565500000000002</v>
      </c>
      <c r="C217">
        <v>-18.738500000000002</v>
      </c>
      <c r="D217">
        <v>5.212857142857158E-3</v>
      </c>
      <c r="E217">
        <v>4.5450000000000004E-3</v>
      </c>
      <c r="F217">
        <v>12.0815</v>
      </c>
      <c r="G217">
        <v>-19.190750000000001</v>
      </c>
      <c r="H217">
        <v>9.9444499999999991E-2</v>
      </c>
      <c r="I217">
        <v>8.01</v>
      </c>
      <c r="J217">
        <v>569.75</v>
      </c>
      <c r="K217">
        <v>42.915764139590848</v>
      </c>
    </row>
    <row r="235" ht="14" customHeight="1" x14ac:dyDescent="0.35"/>
  </sheetData>
  <mergeCells count="1378">
    <mergeCell ref="AQ60:AQ61"/>
    <mergeCell ref="AQ99:AQ102"/>
    <mergeCell ref="AQ103:AQ106"/>
    <mergeCell ref="AQ107:AQ110"/>
    <mergeCell ref="AQ87:AQ88"/>
    <mergeCell ref="AQ89:AQ90"/>
    <mergeCell ref="AQ91:AQ92"/>
    <mergeCell ref="AQ93:AQ94"/>
    <mergeCell ref="AQ95:AQ96"/>
    <mergeCell ref="AQ97:AQ98"/>
    <mergeCell ref="AQ74:AQ75"/>
    <mergeCell ref="AQ76:AQ77"/>
    <mergeCell ref="AQ78:AQ80"/>
    <mergeCell ref="AQ81:AQ82"/>
    <mergeCell ref="AQ83:AQ84"/>
    <mergeCell ref="AQ85:AQ86"/>
    <mergeCell ref="AQ62:AQ63"/>
    <mergeCell ref="AQ64:AQ65"/>
    <mergeCell ref="AQ66:AQ67"/>
    <mergeCell ref="AQ68:AQ69"/>
    <mergeCell ref="AQ70:AQ71"/>
    <mergeCell ref="AQ72:AQ73"/>
    <mergeCell ref="AN2:AN3"/>
    <mergeCell ref="AN4:AN5"/>
    <mergeCell ref="AN6:AN7"/>
    <mergeCell ref="AN8:AN9"/>
    <mergeCell ref="AN10:AN11"/>
    <mergeCell ref="AN12:AN13"/>
    <mergeCell ref="AN14:AN15"/>
    <mergeCell ref="AN16:AN17"/>
    <mergeCell ref="AN18:AN19"/>
    <mergeCell ref="O91:O92"/>
    <mergeCell ref="O93:O94"/>
    <mergeCell ref="O95:O96"/>
    <mergeCell ref="O97:O98"/>
    <mergeCell ref="O99:O102"/>
    <mergeCell ref="O103:O106"/>
    <mergeCell ref="O78:O80"/>
    <mergeCell ref="O81:O82"/>
    <mergeCell ref="O83:O84"/>
    <mergeCell ref="O85:O86"/>
    <mergeCell ref="O58:O59"/>
    <mergeCell ref="O60:O61"/>
    <mergeCell ref="O62:O63"/>
    <mergeCell ref="O64:O65"/>
    <mergeCell ref="O42:O43"/>
    <mergeCell ref="O44:O45"/>
    <mergeCell ref="O46:O47"/>
    <mergeCell ref="O48:O49"/>
    <mergeCell ref="O50:O51"/>
    <mergeCell ref="O52:O53"/>
    <mergeCell ref="O30:O31"/>
    <mergeCell ref="O32:O33"/>
    <mergeCell ref="O34:O35"/>
    <mergeCell ref="AQ14:AQ15"/>
    <mergeCell ref="AQ16:AQ17"/>
    <mergeCell ref="AQ18:AQ19"/>
    <mergeCell ref="AQ20:AQ21"/>
    <mergeCell ref="AQ22:AQ23"/>
    <mergeCell ref="AQ24:AQ25"/>
    <mergeCell ref="AQ2:AQ3"/>
    <mergeCell ref="AQ4:AQ5"/>
    <mergeCell ref="AQ6:AQ7"/>
    <mergeCell ref="AQ8:AQ9"/>
    <mergeCell ref="AQ10:AQ11"/>
    <mergeCell ref="AQ12:AQ13"/>
    <mergeCell ref="AQ50:AQ51"/>
    <mergeCell ref="AQ52:AQ53"/>
    <mergeCell ref="AQ54:AQ55"/>
    <mergeCell ref="AQ56:AQ57"/>
    <mergeCell ref="AQ58:AQ59"/>
    <mergeCell ref="AQ38:AQ39"/>
    <mergeCell ref="AQ40:AQ41"/>
    <mergeCell ref="AQ42:AQ43"/>
    <mergeCell ref="AQ44:AQ45"/>
    <mergeCell ref="AQ46:AQ47"/>
    <mergeCell ref="AQ48:AQ49"/>
    <mergeCell ref="AQ26:AQ27"/>
    <mergeCell ref="AQ28:AQ29"/>
    <mergeCell ref="AQ30:AQ31"/>
    <mergeCell ref="AQ32:AQ33"/>
    <mergeCell ref="AQ34:AQ35"/>
    <mergeCell ref="AQ36:AQ37"/>
    <mergeCell ref="O36:O37"/>
    <mergeCell ref="O38:O39"/>
    <mergeCell ref="O40:O41"/>
    <mergeCell ref="O18:O19"/>
    <mergeCell ref="O20:O21"/>
    <mergeCell ref="O22:O23"/>
    <mergeCell ref="O24:O25"/>
    <mergeCell ref="O26:O27"/>
    <mergeCell ref="O28:O29"/>
    <mergeCell ref="L103:L106"/>
    <mergeCell ref="L107:L110"/>
    <mergeCell ref="O2:O3"/>
    <mergeCell ref="O4:O5"/>
    <mergeCell ref="O6:O7"/>
    <mergeCell ref="O8:O9"/>
    <mergeCell ref="O10:O11"/>
    <mergeCell ref="O12:O13"/>
    <mergeCell ref="O14:O15"/>
    <mergeCell ref="O16:O17"/>
    <mergeCell ref="O87:O88"/>
    <mergeCell ref="O89:O90"/>
    <mergeCell ref="O66:O67"/>
    <mergeCell ref="O68:O69"/>
    <mergeCell ref="O70:O71"/>
    <mergeCell ref="O72:O73"/>
    <mergeCell ref="O74:O75"/>
    <mergeCell ref="O76:O77"/>
    <mergeCell ref="O54:O55"/>
    <mergeCell ref="O56:O57"/>
    <mergeCell ref="O107:O110"/>
    <mergeCell ref="AC99:AC102"/>
    <mergeCell ref="AC103:AC106"/>
    <mergeCell ref="AC107:AC110"/>
    <mergeCell ref="L2:L3"/>
    <mergeCell ref="L4:L5"/>
    <mergeCell ref="L6:L7"/>
    <mergeCell ref="L8:L9"/>
    <mergeCell ref="L10:L11"/>
    <mergeCell ref="L12:L13"/>
    <mergeCell ref="L14:L15"/>
    <mergeCell ref="AC87:AC88"/>
    <mergeCell ref="AC89:AC90"/>
    <mergeCell ref="AC91:AC92"/>
    <mergeCell ref="AC93:AC94"/>
    <mergeCell ref="AC95:AC96"/>
    <mergeCell ref="AC97:AC98"/>
    <mergeCell ref="AC74:AC75"/>
    <mergeCell ref="AC76:AC77"/>
    <mergeCell ref="AC78:AC80"/>
    <mergeCell ref="AC81:AC82"/>
    <mergeCell ref="AC83:AC84"/>
    <mergeCell ref="AC85:AC86"/>
    <mergeCell ref="AC62:AC63"/>
    <mergeCell ref="AC64:AC65"/>
    <mergeCell ref="AC66:AC67"/>
    <mergeCell ref="AC68:AC69"/>
    <mergeCell ref="AC70:AC71"/>
    <mergeCell ref="AC72:AC73"/>
    <mergeCell ref="AC50:AC51"/>
    <mergeCell ref="AC52:AC53"/>
    <mergeCell ref="AC54:AC55"/>
    <mergeCell ref="AC56:AC57"/>
    <mergeCell ref="AC58:AC59"/>
    <mergeCell ref="AC60:AC61"/>
    <mergeCell ref="AC38:AC39"/>
    <mergeCell ref="AC40:AC41"/>
    <mergeCell ref="AC42:AC43"/>
    <mergeCell ref="AC44:AC45"/>
    <mergeCell ref="AC46:AC47"/>
    <mergeCell ref="AC48:AC49"/>
    <mergeCell ref="AC26:AC27"/>
    <mergeCell ref="AC28:AC29"/>
    <mergeCell ref="AC30:AC31"/>
    <mergeCell ref="AC32:AC33"/>
    <mergeCell ref="AC34:AC35"/>
    <mergeCell ref="AC36:AC37"/>
    <mergeCell ref="AC14:AC15"/>
    <mergeCell ref="AC16:AC17"/>
    <mergeCell ref="AC18:AC19"/>
    <mergeCell ref="AC20:AC21"/>
    <mergeCell ref="AC22:AC23"/>
    <mergeCell ref="AC24:AC25"/>
    <mergeCell ref="AC2:AC3"/>
    <mergeCell ref="AC4:AC5"/>
    <mergeCell ref="AC6:AC7"/>
    <mergeCell ref="AC8:AC9"/>
    <mergeCell ref="AC10:AC11"/>
    <mergeCell ref="AC12:AC13"/>
    <mergeCell ref="AK107:AK110"/>
    <mergeCell ref="Z2:Z3"/>
    <mergeCell ref="Z4:Z5"/>
    <mergeCell ref="Z6:Z7"/>
    <mergeCell ref="Z8:Z9"/>
    <mergeCell ref="Z10:Z11"/>
    <mergeCell ref="Z12:Z13"/>
    <mergeCell ref="Z14:Z15"/>
    <mergeCell ref="Z16:Z17"/>
    <mergeCell ref="Z18:Z19"/>
    <mergeCell ref="AK91:AK92"/>
    <mergeCell ref="AK93:AK94"/>
    <mergeCell ref="AK95:AK96"/>
    <mergeCell ref="AK97:AK98"/>
    <mergeCell ref="AK99:AK102"/>
    <mergeCell ref="AK103:AK106"/>
    <mergeCell ref="AK78:AK80"/>
    <mergeCell ref="AK81:AK82"/>
    <mergeCell ref="AK83:AK84"/>
    <mergeCell ref="AK85:AK86"/>
    <mergeCell ref="AK87:AK88"/>
    <mergeCell ref="AK89:AK90"/>
    <mergeCell ref="AK66:AK67"/>
    <mergeCell ref="AK68:AK69"/>
    <mergeCell ref="AK70:AK71"/>
    <mergeCell ref="AK72:AK73"/>
    <mergeCell ref="AK74:AK75"/>
    <mergeCell ref="AK76:AK77"/>
    <mergeCell ref="AK54:AK55"/>
    <mergeCell ref="AK56:AK57"/>
    <mergeCell ref="AK58:AK59"/>
    <mergeCell ref="AK60:AK61"/>
    <mergeCell ref="AK62:AK63"/>
    <mergeCell ref="AK64:AK65"/>
    <mergeCell ref="AK42:AK43"/>
    <mergeCell ref="AK44:AK45"/>
    <mergeCell ref="AK46:AK47"/>
    <mergeCell ref="AK48:AK49"/>
    <mergeCell ref="AK50:AK51"/>
    <mergeCell ref="AK52:AK53"/>
    <mergeCell ref="AK30:AK31"/>
    <mergeCell ref="AK32:AK33"/>
    <mergeCell ref="AK34:AK35"/>
    <mergeCell ref="AK36:AK37"/>
    <mergeCell ref="AK38:AK39"/>
    <mergeCell ref="AK40:AK41"/>
    <mergeCell ref="AK18:AK19"/>
    <mergeCell ref="AK20:AK21"/>
    <mergeCell ref="AK22:AK23"/>
    <mergeCell ref="AK24:AK25"/>
    <mergeCell ref="AK26:AK27"/>
    <mergeCell ref="AK28:AK29"/>
    <mergeCell ref="AI103:AI106"/>
    <mergeCell ref="AI107:AI110"/>
    <mergeCell ref="AK2:AK3"/>
    <mergeCell ref="AK4:AK5"/>
    <mergeCell ref="AK6:AK7"/>
    <mergeCell ref="AK8:AK9"/>
    <mergeCell ref="AK10:AK11"/>
    <mergeCell ref="AK12:AK13"/>
    <mergeCell ref="AK14:AK15"/>
    <mergeCell ref="AK16:AK17"/>
    <mergeCell ref="AI89:AI90"/>
    <mergeCell ref="AI91:AI92"/>
    <mergeCell ref="AI93:AI94"/>
    <mergeCell ref="AI95:AI96"/>
    <mergeCell ref="AI97:AI98"/>
    <mergeCell ref="AI99:AI102"/>
    <mergeCell ref="AI76:AI77"/>
    <mergeCell ref="AI78:AI80"/>
    <mergeCell ref="AI81:AI82"/>
    <mergeCell ref="AI83:AI84"/>
    <mergeCell ref="AI85:AI86"/>
    <mergeCell ref="AI87:AI88"/>
    <mergeCell ref="AI64:AI65"/>
    <mergeCell ref="AI66:AI67"/>
    <mergeCell ref="AI68:AI69"/>
    <mergeCell ref="AI70:AI71"/>
    <mergeCell ref="AI72:AI73"/>
    <mergeCell ref="AI74:AI75"/>
    <mergeCell ref="AI52:AI53"/>
    <mergeCell ref="AI54:AI55"/>
    <mergeCell ref="AI56:AI57"/>
    <mergeCell ref="AI58:AI59"/>
    <mergeCell ref="AI60:AI61"/>
    <mergeCell ref="AI62:AI63"/>
    <mergeCell ref="AI40:AI41"/>
    <mergeCell ref="AI42:AI43"/>
    <mergeCell ref="AI44:AI45"/>
    <mergeCell ref="AI46:AI47"/>
    <mergeCell ref="AI48:AI49"/>
    <mergeCell ref="AI50:AI51"/>
    <mergeCell ref="AI28:AI29"/>
    <mergeCell ref="AI30:AI31"/>
    <mergeCell ref="AI32:AI33"/>
    <mergeCell ref="AI34:AI35"/>
    <mergeCell ref="AI36:AI37"/>
    <mergeCell ref="AI38:AI39"/>
    <mergeCell ref="AI16:AI17"/>
    <mergeCell ref="AI18:AI19"/>
    <mergeCell ref="AI20:AI21"/>
    <mergeCell ref="AI22:AI23"/>
    <mergeCell ref="AI24:AI25"/>
    <mergeCell ref="AI26:AI27"/>
    <mergeCell ref="AI2:AI3"/>
    <mergeCell ref="AI4:AI5"/>
    <mergeCell ref="AI6:AI7"/>
    <mergeCell ref="AI8:AI9"/>
    <mergeCell ref="AI10:AI11"/>
    <mergeCell ref="AI12:AI13"/>
    <mergeCell ref="AI14:AI15"/>
    <mergeCell ref="AS99:AS102"/>
    <mergeCell ref="AU99:AU102"/>
    <mergeCell ref="AS103:AS106"/>
    <mergeCell ref="AU103:AU106"/>
    <mergeCell ref="AS74:AS75"/>
    <mergeCell ref="AU74:AU75"/>
    <mergeCell ref="AS76:AS77"/>
    <mergeCell ref="AU76:AU77"/>
    <mergeCell ref="AS78:AS80"/>
    <mergeCell ref="AU78:AU80"/>
    <mergeCell ref="AS68:AS69"/>
    <mergeCell ref="AU68:AU69"/>
    <mergeCell ref="AS70:AS71"/>
    <mergeCell ref="AU70:AU71"/>
    <mergeCell ref="AS72:AS73"/>
    <mergeCell ref="AU72:AU73"/>
    <mergeCell ref="AS62:AS63"/>
    <mergeCell ref="AU62:AU63"/>
    <mergeCell ref="AS64:AS65"/>
    <mergeCell ref="AS107:AS110"/>
    <mergeCell ref="AU107:AU110"/>
    <mergeCell ref="AS93:AS94"/>
    <mergeCell ref="AU93:AU94"/>
    <mergeCell ref="AS95:AS96"/>
    <mergeCell ref="AU95:AU96"/>
    <mergeCell ref="AS97:AS98"/>
    <mergeCell ref="AU97:AU98"/>
    <mergeCell ref="AS87:AS88"/>
    <mergeCell ref="AU87:AU88"/>
    <mergeCell ref="AS89:AS90"/>
    <mergeCell ref="AU89:AU90"/>
    <mergeCell ref="AS91:AS92"/>
    <mergeCell ref="AU91:AU92"/>
    <mergeCell ref="AS81:AS82"/>
    <mergeCell ref="AU81:AU82"/>
    <mergeCell ref="AS83:AS84"/>
    <mergeCell ref="AU83:AU84"/>
    <mergeCell ref="AS85:AS86"/>
    <mergeCell ref="AU85:AU86"/>
    <mergeCell ref="AU64:AU65"/>
    <mergeCell ref="AS66:AS67"/>
    <mergeCell ref="AU66:AU67"/>
    <mergeCell ref="AS56:AS57"/>
    <mergeCell ref="AU56:AU57"/>
    <mergeCell ref="AS58:AS59"/>
    <mergeCell ref="AU58:AU59"/>
    <mergeCell ref="AS60:AS61"/>
    <mergeCell ref="AU60:AU61"/>
    <mergeCell ref="AS50:AS51"/>
    <mergeCell ref="AU50:AU51"/>
    <mergeCell ref="AS52:AS53"/>
    <mergeCell ref="AU52:AU53"/>
    <mergeCell ref="AS54:AS55"/>
    <mergeCell ref="AU54:AU55"/>
    <mergeCell ref="AS44:AS45"/>
    <mergeCell ref="AU44:AU45"/>
    <mergeCell ref="AS46:AS47"/>
    <mergeCell ref="AU46:AU47"/>
    <mergeCell ref="AS48:AS49"/>
    <mergeCell ref="AU48:AU49"/>
    <mergeCell ref="AS38:AS39"/>
    <mergeCell ref="AU38:AU39"/>
    <mergeCell ref="AS40:AS41"/>
    <mergeCell ref="AU40:AU41"/>
    <mergeCell ref="AS42:AS43"/>
    <mergeCell ref="AU42:AU43"/>
    <mergeCell ref="AS32:AS33"/>
    <mergeCell ref="AU32:AU33"/>
    <mergeCell ref="AS34:AS35"/>
    <mergeCell ref="AU34:AU35"/>
    <mergeCell ref="AS36:AS37"/>
    <mergeCell ref="AU36:AU37"/>
    <mergeCell ref="AS26:AS27"/>
    <mergeCell ref="AU26:AU27"/>
    <mergeCell ref="AS28:AS29"/>
    <mergeCell ref="AU28:AU29"/>
    <mergeCell ref="AS30:AS31"/>
    <mergeCell ref="AU30:AU31"/>
    <mergeCell ref="AS20:AS21"/>
    <mergeCell ref="AU20:AU21"/>
    <mergeCell ref="AS22:AS23"/>
    <mergeCell ref="AU22:AU23"/>
    <mergeCell ref="AS24:AS25"/>
    <mergeCell ref="AU24:AU25"/>
    <mergeCell ref="AS14:AS15"/>
    <mergeCell ref="AU14:AU15"/>
    <mergeCell ref="AS16:AS17"/>
    <mergeCell ref="AU16:AU17"/>
    <mergeCell ref="AS18:AS19"/>
    <mergeCell ref="AU18:AU19"/>
    <mergeCell ref="AS8:AS9"/>
    <mergeCell ref="AU8:AU9"/>
    <mergeCell ref="AS10:AS11"/>
    <mergeCell ref="AU10:AU11"/>
    <mergeCell ref="AS12:AS13"/>
    <mergeCell ref="AU12:AU13"/>
    <mergeCell ref="AS2:AS3"/>
    <mergeCell ref="AU2:AU3"/>
    <mergeCell ref="AS4:AS5"/>
    <mergeCell ref="AU4:AU5"/>
    <mergeCell ref="AS6:AS7"/>
    <mergeCell ref="AU6:AU7"/>
    <mergeCell ref="AM99:AM102"/>
    <mergeCell ref="AP99:AP102"/>
    <mergeCell ref="AM103:AM106"/>
    <mergeCell ref="AP103:AP106"/>
    <mergeCell ref="AM107:AM110"/>
    <mergeCell ref="AP107:AP110"/>
    <mergeCell ref="AN99:AN102"/>
    <mergeCell ref="AN103:AN106"/>
    <mergeCell ref="AN107:AN110"/>
    <mergeCell ref="AM93:AM94"/>
    <mergeCell ref="AP93:AP94"/>
    <mergeCell ref="AM95:AM96"/>
    <mergeCell ref="AP95:AP96"/>
    <mergeCell ref="AM97:AM98"/>
    <mergeCell ref="AP97:AP98"/>
    <mergeCell ref="AN93:AN94"/>
    <mergeCell ref="AN95:AN96"/>
    <mergeCell ref="AN97:AN98"/>
    <mergeCell ref="AM87:AM88"/>
    <mergeCell ref="AP87:AP88"/>
    <mergeCell ref="AM89:AM90"/>
    <mergeCell ref="AP89:AP90"/>
    <mergeCell ref="AM91:AM92"/>
    <mergeCell ref="AP91:AP92"/>
    <mergeCell ref="AN87:AN88"/>
    <mergeCell ref="AN89:AN90"/>
    <mergeCell ref="AN91:AN92"/>
    <mergeCell ref="AM81:AM82"/>
    <mergeCell ref="AP81:AP82"/>
    <mergeCell ref="AM83:AM84"/>
    <mergeCell ref="AP83:AP84"/>
    <mergeCell ref="AM85:AM86"/>
    <mergeCell ref="AP85:AP86"/>
    <mergeCell ref="AN81:AN82"/>
    <mergeCell ref="AN83:AN84"/>
    <mergeCell ref="AN85:AN86"/>
    <mergeCell ref="AM74:AM75"/>
    <mergeCell ref="AP74:AP75"/>
    <mergeCell ref="AM76:AM77"/>
    <mergeCell ref="AP76:AP77"/>
    <mergeCell ref="AM78:AM80"/>
    <mergeCell ref="AP78:AP80"/>
    <mergeCell ref="AN74:AN75"/>
    <mergeCell ref="AN76:AN77"/>
    <mergeCell ref="AN78:AN80"/>
    <mergeCell ref="AM68:AM69"/>
    <mergeCell ref="AP68:AP69"/>
    <mergeCell ref="AM70:AM71"/>
    <mergeCell ref="AP70:AP71"/>
    <mergeCell ref="AM72:AM73"/>
    <mergeCell ref="AP72:AP73"/>
    <mergeCell ref="AN68:AN69"/>
    <mergeCell ref="AN70:AN71"/>
    <mergeCell ref="AN72:AN73"/>
    <mergeCell ref="AM62:AM63"/>
    <mergeCell ref="AP62:AP63"/>
    <mergeCell ref="AM64:AM65"/>
    <mergeCell ref="AP64:AP65"/>
    <mergeCell ref="AM66:AM67"/>
    <mergeCell ref="AP66:AP67"/>
    <mergeCell ref="AN62:AN63"/>
    <mergeCell ref="AN64:AN65"/>
    <mergeCell ref="AN66:AN67"/>
    <mergeCell ref="AM56:AM57"/>
    <mergeCell ref="AP56:AP57"/>
    <mergeCell ref="AM58:AM59"/>
    <mergeCell ref="AP58:AP59"/>
    <mergeCell ref="AM60:AM61"/>
    <mergeCell ref="AP60:AP61"/>
    <mergeCell ref="AN56:AN57"/>
    <mergeCell ref="AN58:AN59"/>
    <mergeCell ref="AN60:AN61"/>
    <mergeCell ref="AM50:AM51"/>
    <mergeCell ref="AP50:AP51"/>
    <mergeCell ref="AM52:AM53"/>
    <mergeCell ref="AP52:AP53"/>
    <mergeCell ref="AM54:AM55"/>
    <mergeCell ref="AP54:AP55"/>
    <mergeCell ref="AN50:AN51"/>
    <mergeCell ref="AN52:AN53"/>
    <mergeCell ref="AN54:AN55"/>
    <mergeCell ref="AM44:AM45"/>
    <mergeCell ref="AP44:AP45"/>
    <mergeCell ref="AM46:AM47"/>
    <mergeCell ref="AP46:AP47"/>
    <mergeCell ref="AM48:AM49"/>
    <mergeCell ref="AP48:AP49"/>
    <mergeCell ref="AN44:AN45"/>
    <mergeCell ref="AN46:AN47"/>
    <mergeCell ref="AN48:AN49"/>
    <mergeCell ref="AM38:AM39"/>
    <mergeCell ref="AP38:AP39"/>
    <mergeCell ref="AM40:AM41"/>
    <mergeCell ref="AP40:AP41"/>
    <mergeCell ref="AM42:AM43"/>
    <mergeCell ref="AP42:AP43"/>
    <mergeCell ref="AN38:AN39"/>
    <mergeCell ref="AN40:AN41"/>
    <mergeCell ref="AN42:AN43"/>
    <mergeCell ref="AM32:AM33"/>
    <mergeCell ref="AP32:AP33"/>
    <mergeCell ref="AM34:AM35"/>
    <mergeCell ref="AP34:AP35"/>
    <mergeCell ref="AM36:AM37"/>
    <mergeCell ref="AP36:AP37"/>
    <mergeCell ref="AN32:AN33"/>
    <mergeCell ref="AN34:AN35"/>
    <mergeCell ref="AN36:AN37"/>
    <mergeCell ref="AM26:AM27"/>
    <mergeCell ref="AP26:AP27"/>
    <mergeCell ref="AM28:AM29"/>
    <mergeCell ref="AP28:AP29"/>
    <mergeCell ref="AM30:AM31"/>
    <mergeCell ref="AP30:AP31"/>
    <mergeCell ref="AN26:AN27"/>
    <mergeCell ref="AN28:AN29"/>
    <mergeCell ref="AN30:AN31"/>
    <mergeCell ref="AM20:AM21"/>
    <mergeCell ref="AP20:AP21"/>
    <mergeCell ref="AM22:AM23"/>
    <mergeCell ref="AP22:AP23"/>
    <mergeCell ref="AM24:AM25"/>
    <mergeCell ref="AP24:AP25"/>
    <mergeCell ref="AN20:AN21"/>
    <mergeCell ref="AN22:AN23"/>
    <mergeCell ref="AN24:AN25"/>
    <mergeCell ref="AM14:AM15"/>
    <mergeCell ref="AP14:AP15"/>
    <mergeCell ref="AM16:AM17"/>
    <mergeCell ref="AP16:AP17"/>
    <mergeCell ref="AM18:AM19"/>
    <mergeCell ref="AP18:AP19"/>
    <mergeCell ref="AM8:AM9"/>
    <mergeCell ref="AP8:AP9"/>
    <mergeCell ref="AM10:AM11"/>
    <mergeCell ref="AP10:AP11"/>
    <mergeCell ref="AM12:AM13"/>
    <mergeCell ref="AP12:AP13"/>
    <mergeCell ref="AM2:AM3"/>
    <mergeCell ref="AP2:AP3"/>
    <mergeCell ref="AM4:AM5"/>
    <mergeCell ref="AP4:AP5"/>
    <mergeCell ref="AM6:AM7"/>
    <mergeCell ref="AP6:AP7"/>
    <mergeCell ref="AE99:AE102"/>
    <mergeCell ref="AG99:AG102"/>
    <mergeCell ref="AE103:AE106"/>
    <mergeCell ref="AG103:AG106"/>
    <mergeCell ref="AE107:AE110"/>
    <mergeCell ref="AG107:AG110"/>
    <mergeCell ref="AE93:AE94"/>
    <mergeCell ref="AG93:AG94"/>
    <mergeCell ref="AE95:AE96"/>
    <mergeCell ref="AG95:AG96"/>
    <mergeCell ref="AE97:AE98"/>
    <mergeCell ref="AG97:AG98"/>
    <mergeCell ref="AE87:AE88"/>
    <mergeCell ref="AG87:AG88"/>
    <mergeCell ref="AE89:AE90"/>
    <mergeCell ref="AG89:AG90"/>
    <mergeCell ref="AE91:AE92"/>
    <mergeCell ref="AG91:AG92"/>
    <mergeCell ref="AE81:AE82"/>
    <mergeCell ref="AG81:AG82"/>
    <mergeCell ref="AE83:AE84"/>
    <mergeCell ref="AG83:AG84"/>
    <mergeCell ref="AE85:AE86"/>
    <mergeCell ref="AG85:AG86"/>
    <mergeCell ref="AE74:AE75"/>
    <mergeCell ref="AG74:AG75"/>
    <mergeCell ref="AE76:AE77"/>
    <mergeCell ref="AG76:AG77"/>
    <mergeCell ref="AE78:AE80"/>
    <mergeCell ref="AG78:AG80"/>
    <mergeCell ref="AE68:AE69"/>
    <mergeCell ref="AG68:AG69"/>
    <mergeCell ref="AE70:AE71"/>
    <mergeCell ref="AG70:AG71"/>
    <mergeCell ref="AE72:AE73"/>
    <mergeCell ref="AG72:AG73"/>
    <mergeCell ref="AE62:AE63"/>
    <mergeCell ref="AG62:AG63"/>
    <mergeCell ref="AE64:AE65"/>
    <mergeCell ref="AG64:AG65"/>
    <mergeCell ref="AE66:AE67"/>
    <mergeCell ref="AG66:AG67"/>
    <mergeCell ref="AE56:AE57"/>
    <mergeCell ref="AG56:AG57"/>
    <mergeCell ref="AE58:AE59"/>
    <mergeCell ref="AG58:AG59"/>
    <mergeCell ref="AE60:AE61"/>
    <mergeCell ref="AG60:AG61"/>
    <mergeCell ref="AE50:AE51"/>
    <mergeCell ref="AG50:AG51"/>
    <mergeCell ref="AE52:AE53"/>
    <mergeCell ref="AG52:AG53"/>
    <mergeCell ref="AE54:AE55"/>
    <mergeCell ref="AG54:AG55"/>
    <mergeCell ref="AE44:AE45"/>
    <mergeCell ref="AG44:AG45"/>
    <mergeCell ref="AE46:AE47"/>
    <mergeCell ref="AG46:AG47"/>
    <mergeCell ref="AE48:AE49"/>
    <mergeCell ref="AG48:AG49"/>
    <mergeCell ref="AE38:AE39"/>
    <mergeCell ref="AG38:AG39"/>
    <mergeCell ref="AE40:AE41"/>
    <mergeCell ref="AG40:AG41"/>
    <mergeCell ref="AE42:AE43"/>
    <mergeCell ref="AG42:AG43"/>
    <mergeCell ref="AE32:AE33"/>
    <mergeCell ref="AG32:AG33"/>
    <mergeCell ref="AE34:AE35"/>
    <mergeCell ref="AG34:AG35"/>
    <mergeCell ref="AE36:AE37"/>
    <mergeCell ref="AG36:AG37"/>
    <mergeCell ref="AE26:AE27"/>
    <mergeCell ref="AG26:AG27"/>
    <mergeCell ref="AE28:AE29"/>
    <mergeCell ref="AG28:AG29"/>
    <mergeCell ref="AE30:AE31"/>
    <mergeCell ref="AG30:AG31"/>
    <mergeCell ref="AE20:AE21"/>
    <mergeCell ref="AG20:AG21"/>
    <mergeCell ref="AE22:AE23"/>
    <mergeCell ref="AG22:AG23"/>
    <mergeCell ref="AE24:AE25"/>
    <mergeCell ref="AG24:AG25"/>
    <mergeCell ref="AE14:AE15"/>
    <mergeCell ref="AG14:AG15"/>
    <mergeCell ref="AE16:AE17"/>
    <mergeCell ref="AG16:AG17"/>
    <mergeCell ref="AE18:AE19"/>
    <mergeCell ref="AG18:AG19"/>
    <mergeCell ref="AE8:AE9"/>
    <mergeCell ref="AG8:AG9"/>
    <mergeCell ref="AE10:AE11"/>
    <mergeCell ref="AG10:AG11"/>
    <mergeCell ref="AE12:AE13"/>
    <mergeCell ref="AG12:AG13"/>
    <mergeCell ref="AE2:AE3"/>
    <mergeCell ref="AG2:AG3"/>
    <mergeCell ref="AE4:AE5"/>
    <mergeCell ref="AG4:AG5"/>
    <mergeCell ref="AE6:AE7"/>
    <mergeCell ref="AG6:AG7"/>
    <mergeCell ref="Y99:Y102"/>
    <mergeCell ref="AB99:AB102"/>
    <mergeCell ref="Y103:Y106"/>
    <mergeCell ref="AB103:AB106"/>
    <mergeCell ref="Y107:Y110"/>
    <mergeCell ref="AB107:AB110"/>
    <mergeCell ref="Z99:Z102"/>
    <mergeCell ref="Z103:Z106"/>
    <mergeCell ref="Z107:Z110"/>
    <mergeCell ref="Y93:Y94"/>
    <mergeCell ref="AB93:AB94"/>
    <mergeCell ref="Y95:Y96"/>
    <mergeCell ref="AB95:AB96"/>
    <mergeCell ref="Y97:Y98"/>
    <mergeCell ref="AB97:AB98"/>
    <mergeCell ref="Z93:Z94"/>
    <mergeCell ref="Z95:Z96"/>
    <mergeCell ref="Z97:Z98"/>
    <mergeCell ref="Y87:Y88"/>
    <mergeCell ref="AB87:AB88"/>
    <mergeCell ref="Y89:Y90"/>
    <mergeCell ref="AB89:AB90"/>
    <mergeCell ref="Y91:Y92"/>
    <mergeCell ref="AB91:AB92"/>
    <mergeCell ref="Z87:Z88"/>
    <mergeCell ref="Z89:Z90"/>
    <mergeCell ref="Z91:Z92"/>
    <mergeCell ref="Y81:Y82"/>
    <mergeCell ref="AB81:AB82"/>
    <mergeCell ref="Y83:Y84"/>
    <mergeCell ref="AB83:AB84"/>
    <mergeCell ref="Y85:Y86"/>
    <mergeCell ref="AB85:AB86"/>
    <mergeCell ref="Z81:Z82"/>
    <mergeCell ref="Z83:Z84"/>
    <mergeCell ref="Z85:Z86"/>
    <mergeCell ref="Y74:Y75"/>
    <mergeCell ref="AB74:AB75"/>
    <mergeCell ref="Y76:Y77"/>
    <mergeCell ref="AB76:AB77"/>
    <mergeCell ref="Y78:Y80"/>
    <mergeCell ref="AB78:AB80"/>
    <mergeCell ref="Z74:Z75"/>
    <mergeCell ref="Z76:Z77"/>
    <mergeCell ref="Z78:Z80"/>
    <mergeCell ref="Y68:Y69"/>
    <mergeCell ref="AB68:AB69"/>
    <mergeCell ref="Y70:Y71"/>
    <mergeCell ref="AB70:AB71"/>
    <mergeCell ref="Y72:Y73"/>
    <mergeCell ref="AB72:AB73"/>
    <mergeCell ref="Z68:Z69"/>
    <mergeCell ref="Z70:Z71"/>
    <mergeCell ref="Z72:Z73"/>
    <mergeCell ref="Y62:Y63"/>
    <mergeCell ref="AB62:AB63"/>
    <mergeCell ref="Y64:Y65"/>
    <mergeCell ref="AB64:AB65"/>
    <mergeCell ref="Y66:Y67"/>
    <mergeCell ref="AB66:AB67"/>
    <mergeCell ref="Z62:Z63"/>
    <mergeCell ref="Z64:Z65"/>
    <mergeCell ref="Z66:Z67"/>
    <mergeCell ref="Y56:Y57"/>
    <mergeCell ref="AB56:AB57"/>
    <mergeCell ref="Y58:Y59"/>
    <mergeCell ref="AB58:AB59"/>
    <mergeCell ref="Y60:Y61"/>
    <mergeCell ref="AB60:AB61"/>
    <mergeCell ref="Z56:Z57"/>
    <mergeCell ref="Z58:Z59"/>
    <mergeCell ref="Z60:Z61"/>
    <mergeCell ref="Y50:Y51"/>
    <mergeCell ref="AB50:AB51"/>
    <mergeCell ref="Y52:Y53"/>
    <mergeCell ref="AB52:AB53"/>
    <mergeCell ref="Y54:Y55"/>
    <mergeCell ref="AB54:AB55"/>
    <mergeCell ref="Z50:Z51"/>
    <mergeCell ref="Z52:Z53"/>
    <mergeCell ref="Z54:Z55"/>
    <mergeCell ref="Y44:Y45"/>
    <mergeCell ref="AB44:AB45"/>
    <mergeCell ref="Y46:Y47"/>
    <mergeCell ref="AB46:AB47"/>
    <mergeCell ref="Y48:Y49"/>
    <mergeCell ref="AB48:AB49"/>
    <mergeCell ref="Z44:Z45"/>
    <mergeCell ref="Z46:Z47"/>
    <mergeCell ref="Z48:Z49"/>
    <mergeCell ref="Y38:Y39"/>
    <mergeCell ref="AB38:AB39"/>
    <mergeCell ref="Y40:Y41"/>
    <mergeCell ref="AB40:AB41"/>
    <mergeCell ref="Y42:Y43"/>
    <mergeCell ref="AB42:AB43"/>
    <mergeCell ref="Z38:Z39"/>
    <mergeCell ref="Z40:Z41"/>
    <mergeCell ref="Z42:Z43"/>
    <mergeCell ref="Y32:Y33"/>
    <mergeCell ref="AB32:AB33"/>
    <mergeCell ref="Y34:Y35"/>
    <mergeCell ref="AB34:AB35"/>
    <mergeCell ref="Y36:Y37"/>
    <mergeCell ref="AB36:AB37"/>
    <mergeCell ref="Z32:Z33"/>
    <mergeCell ref="Z34:Z35"/>
    <mergeCell ref="Z36:Z37"/>
    <mergeCell ref="Y26:Y27"/>
    <mergeCell ref="AB26:AB27"/>
    <mergeCell ref="Y28:Y29"/>
    <mergeCell ref="AB28:AB29"/>
    <mergeCell ref="Y30:Y31"/>
    <mergeCell ref="AB30:AB31"/>
    <mergeCell ref="Z26:Z27"/>
    <mergeCell ref="Z28:Z29"/>
    <mergeCell ref="Z30:Z31"/>
    <mergeCell ref="Y20:Y21"/>
    <mergeCell ref="AB20:AB21"/>
    <mergeCell ref="Y22:Y23"/>
    <mergeCell ref="AB22:AB23"/>
    <mergeCell ref="Y24:Y25"/>
    <mergeCell ref="AB24:AB25"/>
    <mergeCell ref="Z20:Z21"/>
    <mergeCell ref="Z22:Z23"/>
    <mergeCell ref="Z24:Z25"/>
    <mergeCell ref="Y14:Y15"/>
    <mergeCell ref="AB14:AB15"/>
    <mergeCell ref="Y16:Y17"/>
    <mergeCell ref="AB16:AB17"/>
    <mergeCell ref="Y18:Y19"/>
    <mergeCell ref="AB18:AB19"/>
    <mergeCell ref="Y8:Y9"/>
    <mergeCell ref="AB8:AB9"/>
    <mergeCell ref="Y10:Y11"/>
    <mergeCell ref="AB10:AB11"/>
    <mergeCell ref="Y12:Y13"/>
    <mergeCell ref="AB12:AB13"/>
    <mergeCell ref="Y2:Y3"/>
    <mergeCell ref="AB2:AB3"/>
    <mergeCell ref="Y4:Y5"/>
    <mergeCell ref="AB4:AB5"/>
    <mergeCell ref="Y6:Y7"/>
    <mergeCell ref="AB6:AB7"/>
    <mergeCell ref="U99:U102"/>
    <mergeCell ref="W99:W102"/>
    <mergeCell ref="U103:U106"/>
    <mergeCell ref="W103:W106"/>
    <mergeCell ref="U107:U110"/>
    <mergeCell ref="W107:W110"/>
    <mergeCell ref="U93:U94"/>
    <mergeCell ref="W93:W94"/>
    <mergeCell ref="U95:U96"/>
    <mergeCell ref="W95:W96"/>
    <mergeCell ref="U97:U98"/>
    <mergeCell ref="W97:W98"/>
    <mergeCell ref="U87:U88"/>
    <mergeCell ref="W87:W88"/>
    <mergeCell ref="U89:U90"/>
    <mergeCell ref="W89:W90"/>
    <mergeCell ref="U91:U92"/>
    <mergeCell ref="W91:W92"/>
    <mergeCell ref="U81:U82"/>
    <mergeCell ref="W81:W82"/>
    <mergeCell ref="U83:U84"/>
    <mergeCell ref="W83:W84"/>
    <mergeCell ref="U85:U86"/>
    <mergeCell ref="W85:W86"/>
    <mergeCell ref="U74:U75"/>
    <mergeCell ref="W74:W75"/>
    <mergeCell ref="U76:U77"/>
    <mergeCell ref="W76:W77"/>
    <mergeCell ref="U78:U80"/>
    <mergeCell ref="W78:W80"/>
    <mergeCell ref="U68:U69"/>
    <mergeCell ref="W68:W69"/>
    <mergeCell ref="U70:U71"/>
    <mergeCell ref="W70:W71"/>
    <mergeCell ref="U72:U73"/>
    <mergeCell ref="W72:W73"/>
    <mergeCell ref="U62:U63"/>
    <mergeCell ref="W62:W63"/>
    <mergeCell ref="U64:U65"/>
    <mergeCell ref="W64:W65"/>
    <mergeCell ref="U66:U67"/>
    <mergeCell ref="W66:W67"/>
    <mergeCell ref="U56:U57"/>
    <mergeCell ref="W56:W57"/>
    <mergeCell ref="U58:U59"/>
    <mergeCell ref="W58:W59"/>
    <mergeCell ref="U60:U61"/>
    <mergeCell ref="W60:W61"/>
    <mergeCell ref="U50:U51"/>
    <mergeCell ref="W50:W51"/>
    <mergeCell ref="U52:U53"/>
    <mergeCell ref="W52:W53"/>
    <mergeCell ref="U54:U55"/>
    <mergeCell ref="W54:W55"/>
    <mergeCell ref="U44:U45"/>
    <mergeCell ref="W44:W45"/>
    <mergeCell ref="U46:U47"/>
    <mergeCell ref="W46:W47"/>
    <mergeCell ref="U48:U49"/>
    <mergeCell ref="W48:W49"/>
    <mergeCell ref="U38:U39"/>
    <mergeCell ref="W38:W39"/>
    <mergeCell ref="U40:U41"/>
    <mergeCell ref="W40:W41"/>
    <mergeCell ref="U42:U43"/>
    <mergeCell ref="W42:W43"/>
    <mergeCell ref="U32:U33"/>
    <mergeCell ref="W32:W33"/>
    <mergeCell ref="U34:U35"/>
    <mergeCell ref="W34:W35"/>
    <mergeCell ref="U36:U37"/>
    <mergeCell ref="W36:W37"/>
    <mergeCell ref="U26:U27"/>
    <mergeCell ref="W26:W27"/>
    <mergeCell ref="U28:U29"/>
    <mergeCell ref="W28:W29"/>
    <mergeCell ref="U30:U31"/>
    <mergeCell ref="W30:W31"/>
    <mergeCell ref="U20:U21"/>
    <mergeCell ref="W20:W21"/>
    <mergeCell ref="U22:U23"/>
    <mergeCell ref="W22:W23"/>
    <mergeCell ref="U24:U25"/>
    <mergeCell ref="W24:W25"/>
    <mergeCell ref="U14:U15"/>
    <mergeCell ref="W14:W15"/>
    <mergeCell ref="U16:U17"/>
    <mergeCell ref="W16:W17"/>
    <mergeCell ref="U18:U19"/>
    <mergeCell ref="W18:W19"/>
    <mergeCell ref="U8:U9"/>
    <mergeCell ref="W8:W9"/>
    <mergeCell ref="U10:U11"/>
    <mergeCell ref="W10:W11"/>
    <mergeCell ref="U12:U13"/>
    <mergeCell ref="W12:W13"/>
    <mergeCell ref="U2:U3"/>
    <mergeCell ref="W2:W3"/>
    <mergeCell ref="U4:U5"/>
    <mergeCell ref="W4:W5"/>
    <mergeCell ref="U6:U7"/>
    <mergeCell ref="W6:W7"/>
    <mergeCell ref="Q99:Q102"/>
    <mergeCell ref="S99:S102"/>
    <mergeCell ref="Q103:Q106"/>
    <mergeCell ref="S103:S106"/>
    <mergeCell ref="Q107:Q110"/>
    <mergeCell ref="S107:S110"/>
    <mergeCell ref="Q93:Q94"/>
    <mergeCell ref="S93:S94"/>
    <mergeCell ref="Q95:Q96"/>
    <mergeCell ref="S95:S96"/>
    <mergeCell ref="Q97:Q98"/>
    <mergeCell ref="S97:S98"/>
    <mergeCell ref="Q87:Q88"/>
    <mergeCell ref="S87:S88"/>
    <mergeCell ref="Q89:Q90"/>
    <mergeCell ref="S89:S90"/>
    <mergeCell ref="Q91:Q92"/>
    <mergeCell ref="S91:S92"/>
    <mergeCell ref="Q81:Q82"/>
    <mergeCell ref="S81:S82"/>
    <mergeCell ref="Q83:Q84"/>
    <mergeCell ref="S83:S84"/>
    <mergeCell ref="Q85:Q86"/>
    <mergeCell ref="S85:S86"/>
    <mergeCell ref="Q74:Q75"/>
    <mergeCell ref="S74:S75"/>
    <mergeCell ref="Q76:Q77"/>
    <mergeCell ref="S76:S77"/>
    <mergeCell ref="Q78:Q80"/>
    <mergeCell ref="S78:S80"/>
    <mergeCell ref="Q68:Q69"/>
    <mergeCell ref="S68:S69"/>
    <mergeCell ref="Q70:Q71"/>
    <mergeCell ref="S70:S71"/>
    <mergeCell ref="Q72:Q73"/>
    <mergeCell ref="S72:S73"/>
    <mergeCell ref="Q62:Q63"/>
    <mergeCell ref="S62:S63"/>
    <mergeCell ref="Q64:Q65"/>
    <mergeCell ref="S64:S65"/>
    <mergeCell ref="Q66:Q67"/>
    <mergeCell ref="S66:S67"/>
    <mergeCell ref="Q56:Q57"/>
    <mergeCell ref="S56:S57"/>
    <mergeCell ref="Q58:Q59"/>
    <mergeCell ref="S58:S59"/>
    <mergeCell ref="Q60:Q61"/>
    <mergeCell ref="S60:S61"/>
    <mergeCell ref="Q50:Q51"/>
    <mergeCell ref="S50:S51"/>
    <mergeCell ref="Q52:Q53"/>
    <mergeCell ref="S52:S53"/>
    <mergeCell ref="Q54:Q55"/>
    <mergeCell ref="S54:S55"/>
    <mergeCell ref="Q44:Q45"/>
    <mergeCell ref="S44:S45"/>
    <mergeCell ref="Q46:Q47"/>
    <mergeCell ref="S46:S47"/>
    <mergeCell ref="Q48:Q49"/>
    <mergeCell ref="S48:S49"/>
    <mergeCell ref="Q38:Q39"/>
    <mergeCell ref="S38:S39"/>
    <mergeCell ref="Q40:Q41"/>
    <mergeCell ref="S40:S41"/>
    <mergeCell ref="Q42:Q43"/>
    <mergeCell ref="S42:S43"/>
    <mergeCell ref="Q32:Q33"/>
    <mergeCell ref="S32:S33"/>
    <mergeCell ref="Q34:Q35"/>
    <mergeCell ref="S34:S35"/>
    <mergeCell ref="Q36:Q37"/>
    <mergeCell ref="S36:S37"/>
    <mergeCell ref="Q26:Q27"/>
    <mergeCell ref="S26:S27"/>
    <mergeCell ref="Q28:Q29"/>
    <mergeCell ref="S28:S29"/>
    <mergeCell ref="Q30:Q31"/>
    <mergeCell ref="S30:S31"/>
    <mergeCell ref="Q20:Q21"/>
    <mergeCell ref="S20:S21"/>
    <mergeCell ref="Q22:Q23"/>
    <mergeCell ref="S22:S23"/>
    <mergeCell ref="Q24:Q25"/>
    <mergeCell ref="S24:S25"/>
    <mergeCell ref="Q14:Q15"/>
    <mergeCell ref="S14:S15"/>
    <mergeCell ref="Q16:Q17"/>
    <mergeCell ref="S16:S17"/>
    <mergeCell ref="Q18:Q19"/>
    <mergeCell ref="S18:S19"/>
    <mergeCell ref="Q8:Q9"/>
    <mergeCell ref="S8:S9"/>
    <mergeCell ref="Q10:Q11"/>
    <mergeCell ref="S10:S11"/>
    <mergeCell ref="Q12:Q13"/>
    <mergeCell ref="S12:S13"/>
    <mergeCell ref="K103:K106"/>
    <mergeCell ref="N103:N106"/>
    <mergeCell ref="K107:K110"/>
    <mergeCell ref="N107:N110"/>
    <mergeCell ref="Q2:Q3"/>
    <mergeCell ref="S2:S3"/>
    <mergeCell ref="Q4:Q5"/>
    <mergeCell ref="S4:S5"/>
    <mergeCell ref="Q6:Q7"/>
    <mergeCell ref="S6:S7"/>
    <mergeCell ref="K95:K96"/>
    <mergeCell ref="N95:N96"/>
    <mergeCell ref="K97:K98"/>
    <mergeCell ref="N97:N98"/>
    <mergeCell ref="K99:K102"/>
    <mergeCell ref="N99:N102"/>
    <mergeCell ref="L95:L96"/>
    <mergeCell ref="L97:L98"/>
    <mergeCell ref="L99:L102"/>
    <mergeCell ref="K89:K90"/>
    <mergeCell ref="N89:N90"/>
    <mergeCell ref="K91:K92"/>
    <mergeCell ref="N91:N92"/>
    <mergeCell ref="K93:K94"/>
    <mergeCell ref="N93:N94"/>
    <mergeCell ref="L89:L90"/>
    <mergeCell ref="L91:L92"/>
    <mergeCell ref="L93:L94"/>
    <mergeCell ref="K83:K84"/>
    <mergeCell ref="N83:N84"/>
    <mergeCell ref="K85:K86"/>
    <mergeCell ref="N85:N86"/>
    <mergeCell ref="K87:K88"/>
    <mergeCell ref="N87:N88"/>
    <mergeCell ref="L83:L84"/>
    <mergeCell ref="L85:L86"/>
    <mergeCell ref="L87:L88"/>
    <mergeCell ref="K76:K77"/>
    <mergeCell ref="N76:N77"/>
    <mergeCell ref="K78:K80"/>
    <mergeCell ref="N78:N80"/>
    <mergeCell ref="K81:K82"/>
    <mergeCell ref="N81:N82"/>
    <mergeCell ref="L76:L77"/>
    <mergeCell ref="L78:L80"/>
    <mergeCell ref="L81:L82"/>
    <mergeCell ref="K70:K71"/>
    <mergeCell ref="N70:N71"/>
    <mergeCell ref="K72:K73"/>
    <mergeCell ref="N72:N73"/>
    <mergeCell ref="K74:K75"/>
    <mergeCell ref="N74:N75"/>
    <mergeCell ref="L70:L71"/>
    <mergeCell ref="L72:L73"/>
    <mergeCell ref="L74:L75"/>
    <mergeCell ref="K64:K65"/>
    <mergeCell ref="N64:N65"/>
    <mergeCell ref="K66:K67"/>
    <mergeCell ref="N66:N67"/>
    <mergeCell ref="K68:K69"/>
    <mergeCell ref="N68:N69"/>
    <mergeCell ref="L64:L65"/>
    <mergeCell ref="L66:L67"/>
    <mergeCell ref="L68:L69"/>
    <mergeCell ref="K58:K59"/>
    <mergeCell ref="N58:N59"/>
    <mergeCell ref="K60:K61"/>
    <mergeCell ref="N60:N61"/>
    <mergeCell ref="K62:K63"/>
    <mergeCell ref="N62:N63"/>
    <mergeCell ref="L58:L59"/>
    <mergeCell ref="L60:L61"/>
    <mergeCell ref="L62:L63"/>
    <mergeCell ref="K52:K53"/>
    <mergeCell ref="N52:N53"/>
    <mergeCell ref="K54:K55"/>
    <mergeCell ref="N54:N55"/>
    <mergeCell ref="K56:K57"/>
    <mergeCell ref="N56:N57"/>
    <mergeCell ref="L52:L53"/>
    <mergeCell ref="L54:L55"/>
    <mergeCell ref="L56:L57"/>
    <mergeCell ref="K46:K47"/>
    <mergeCell ref="N46:N47"/>
    <mergeCell ref="K48:K49"/>
    <mergeCell ref="N48:N49"/>
    <mergeCell ref="K50:K51"/>
    <mergeCell ref="N50:N51"/>
    <mergeCell ref="L46:L47"/>
    <mergeCell ref="L48:L49"/>
    <mergeCell ref="L50:L51"/>
    <mergeCell ref="K40:K41"/>
    <mergeCell ref="N40:N41"/>
    <mergeCell ref="K42:K43"/>
    <mergeCell ref="N42:N43"/>
    <mergeCell ref="K44:K45"/>
    <mergeCell ref="N44:N45"/>
    <mergeCell ref="L40:L41"/>
    <mergeCell ref="L42:L43"/>
    <mergeCell ref="L44:L45"/>
    <mergeCell ref="K34:K35"/>
    <mergeCell ref="N34:N35"/>
    <mergeCell ref="K36:K37"/>
    <mergeCell ref="N36:N37"/>
    <mergeCell ref="K38:K39"/>
    <mergeCell ref="N38:N39"/>
    <mergeCell ref="L34:L35"/>
    <mergeCell ref="L36:L37"/>
    <mergeCell ref="L38:L39"/>
    <mergeCell ref="K28:K29"/>
    <mergeCell ref="N28:N29"/>
    <mergeCell ref="K30:K31"/>
    <mergeCell ref="N30:N31"/>
    <mergeCell ref="K32:K33"/>
    <mergeCell ref="N32:N33"/>
    <mergeCell ref="L28:L29"/>
    <mergeCell ref="L30:L31"/>
    <mergeCell ref="L32:L33"/>
    <mergeCell ref="K22:K23"/>
    <mergeCell ref="N22:N23"/>
    <mergeCell ref="K24:K25"/>
    <mergeCell ref="N24:N25"/>
    <mergeCell ref="K26:K27"/>
    <mergeCell ref="N26:N27"/>
    <mergeCell ref="L22:L23"/>
    <mergeCell ref="L24:L25"/>
    <mergeCell ref="L26:L27"/>
    <mergeCell ref="K16:K17"/>
    <mergeCell ref="N16:N17"/>
    <mergeCell ref="K18:K19"/>
    <mergeCell ref="N18:N19"/>
    <mergeCell ref="K20:K21"/>
    <mergeCell ref="N20:N21"/>
    <mergeCell ref="L16:L17"/>
    <mergeCell ref="L18:L19"/>
    <mergeCell ref="L20:L21"/>
    <mergeCell ref="K10:K11"/>
    <mergeCell ref="N10:N11"/>
    <mergeCell ref="K12:K13"/>
    <mergeCell ref="N12:N13"/>
    <mergeCell ref="K14:K15"/>
    <mergeCell ref="N14:N15"/>
    <mergeCell ref="G107:G110"/>
    <mergeCell ref="I107:I110"/>
    <mergeCell ref="G72:G73"/>
    <mergeCell ref="I72:I73"/>
    <mergeCell ref="G74:G75"/>
    <mergeCell ref="I74:I75"/>
    <mergeCell ref="G76:G77"/>
    <mergeCell ref="I76:I77"/>
    <mergeCell ref="G66:G67"/>
    <mergeCell ref="I66:I67"/>
    <mergeCell ref="G68:G69"/>
    <mergeCell ref="I68:I69"/>
    <mergeCell ref="G70:G71"/>
    <mergeCell ref="I70:I71"/>
    <mergeCell ref="G60:G61"/>
    <mergeCell ref="I60:I61"/>
    <mergeCell ref="G62:G63"/>
    <mergeCell ref="K2:K3"/>
    <mergeCell ref="N2:N3"/>
    <mergeCell ref="K4:K5"/>
    <mergeCell ref="N4:N5"/>
    <mergeCell ref="K6:K7"/>
    <mergeCell ref="N6:N7"/>
    <mergeCell ref="K8:K9"/>
    <mergeCell ref="N8:N9"/>
    <mergeCell ref="G97:G98"/>
    <mergeCell ref="I97:I98"/>
    <mergeCell ref="G99:G102"/>
    <mergeCell ref="I99:I102"/>
    <mergeCell ref="G103:G106"/>
    <mergeCell ref="I103:I106"/>
    <mergeCell ref="G91:G92"/>
    <mergeCell ref="I91:I92"/>
    <mergeCell ref="G93:G94"/>
    <mergeCell ref="I93:I94"/>
    <mergeCell ref="G95:G96"/>
    <mergeCell ref="I95:I96"/>
    <mergeCell ref="G85:G86"/>
    <mergeCell ref="I85:I86"/>
    <mergeCell ref="G87:G88"/>
    <mergeCell ref="I87:I88"/>
    <mergeCell ref="G89:G90"/>
    <mergeCell ref="I89:I90"/>
    <mergeCell ref="G78:G80"/>
    <mergeCell ref="I78:I80"/>
    <mergeCell ref="G81:G82"/>
    <mergeCell ref="I81:I82"/>
    <mergeCell ref="G83:G84"/>
    <mergeCell ref="I83:I84"/>
    <mergeCell ref="I62:I63"/>
    <mergeCell ref="G64:G65"/>
    <mergeCell ref="I64:I65"/>
    <mergeCell ref="G54:G55"/>
    <mergeCell ref="I54:I55"/>
    <mergeCell ref="G56:G57"/>
    <mergeCell ref="I56:I57"/>
    <mergeCell ref="G58:G59"/>
    <mergeCell ref="I58:I59"/>
    <mergeCell ref="G48:G49"/>
    <mergeCell ref="I48:I49"/>
    <mergeCell ref="G50:G51"/>
    <mergeCell ref="I50:I51"/>
    <mergeCell ref="G52:G53"/>
    <mergeCell ref="I52:I53"/>
    <mergeCell ref="G42:G43"/>
    <mergeCell ref="I42:I43"/>
    <mergeCell ref="G44:G45"/>
    <mergeCell ref="I44:I45"/>
    <mergeCell ref="G46:G47"/>
    <mergeCell ref="I46:I47"/>
    <mergeCell ref="G36:G37"/>
    <mergeCell ref="I36:I37"/>
    <mergeCell ref="G38:G39"/>
    <mergeCell ref="I38:I39"/>
    <mergeCell ref="G40:G41"/>
    <mergeCell ref="I40:I41"/>
    <mergeCell ref="G30:G31"/>
    <mergeCell ref="I30:I31"/>
    <mergeCell ref="G32:G33"/>
    <mergeCell ref="I32:I33"/>
    <mergeCell ref="G34:G35"/>
    <mergeCell ref="I34:I35"/>
    <mergeCell ref="G24:G25"/>
    <mergeCell ref="I24:I25"/>
    <mergeCell ref="G26:G27"/>
    <mergeCell ref="I26:I27"/>
    <mergeCell ref="G28:G29"/>
    <mergeCell ref="I28:I29"/>
    <mergeCell ref="G18:G19"/>
    <mergeCell ref="I18:I19"/>
    <mergeCell ref="G20:G21"/>
    <mergeCell ref="I20:I21"/>
    <mergeCell ref="G22:G23"/>
    <mergeCell ref="I22:I23"/>
    <mergeCell ref="I10:I11"/>
    <mergeCell ref="G12:G13"/>
    <mergeCell ref="I12:I13"/>
    <mergeCell ref="G14:G15"/>
    <mergeCell ref="I14:I15"/>
    <mergeCell ref="G16:G17"/>
    <mergeCell ref="I16:I17"/>
    <mergeCell ref="C107:C110"/>
    <mergeCell ref="G2:G3"/>
    <mergeCell ref="I2:I3"/>
    <mergeCell ref="G4:G5"/>
    <mergeCell ref="I4:I5"/>
    <mergeCell ref="G6:G7"/>
    <mergeCell ref="I6:I7"/>
    <mergeCell ref="G8:G9"/>
    <mergeCell ref="I8:I9"/>
    <mergeCell ref="G10:G11"/>
    <mergeCell ref="C91:C92"/>
    <mergeCell ref="C93:C94"/>
    <mergeCell ref="C95:C96"/>
    <mergeCell ref="C97:C98"/>
    <mergeCell ref="C99:C102"/>
    <mergeCell ref="C103:C106"/>
    <mergeCell ref="C78:C80"/>
    <mergeCell ref="C81:C82"/>
    <mergeCell ref="C83:C84"/>
    <mergeCell ref="C85:C86"/>
    <mergeCell ref="C87:C88"/>
    <mergeCell ref="C89:C90"/>
    <mergeCell ref="C66:C67"/>
    <mergeCell ref="C68:C69"/>
    <mergeCell ref="C70:C71"/>
    <mergeCell ref="C72:C73"/>
    <mergeCell ref="C74:C75"/>
    <mergeCell ref="C76:C77"/>
    <mergeCell ref="C54:C55"/>
    <mergeCell ref="C56:C57"/>
    <mergeCell ref="C58:C59"/>
    <mergeCell ref="C60:C61"/>
    <mergeCell ref="C62:C63"/>
    <mergeCell ref="C64:C65"/>
    <mergeCell ref="C42:C43"/>
    <mergeCell ref="C44:C45"/>
    <mergeCell ref="C46:C47"/>
    <mergeCell ref="C48:C49"/>
    <mergeCell ref="C50:C51"/>
    <mergeCell ref="C52:C53"/>
    <mergeCell ref="C30:C31"/>
    <mergeCell ref="C32:C33"/>
    <mergeCell ref="C34:C35"/>
    <mergeCell ref="C36:C37"/>
    <mergeCell ref="C38:C39"/>
    <mergeCell ref="C40:C41"/>
    <mergeCell ref="C18:C19"/>
    <mergeCell ref="C20:C21"/>
    <mergeCell ref="C22:C23"/>
    <mergeCell ref="C24:C25"/>
    <mergeCell ref="C26:C27"/>
    <mergeCell ref="C28:C29"/>
    <mergeCell ref="E103:E106"/>
    <mergeCell ref="E107:E110"/>
    <mergeCell ref="C2:C3"/>
    <mergeCell ref="C4:C5"/>
    <mergeCell ref="C6:C7"/>
    <mergeCell ref="C8:C9"/>
    <mergeCell ref="C10:C11"/>
    <mergeCell ref="C12:C13"/>
    <mergeCell ref="C14:C15"/>
    <mergeCell ref="C16:C17"/>
    <mergeCell ref="E89:E90"/>
    <mergeCell ref="E91:E92"/>
    <mergeCell ref="E93:E94"/>
    <mergeCell ref="E95:E96"/>
    <mergeCell ref="E97:E98"/>
    <mergeCell ref="E99:E102"/>
    <mergeCell ref="E76:E77"/>
    <mergeCell ref="E78:E80"/>
    <mergeCell ref="E81:E82"/>
    <mergeCell ref="E83:E84"/>
    <mergeCell ref="E85:E86"/>
    <mergeCell ref="E87:E88"/>
    <mergeCell ref="E64:E65"/>
    <mergeCell ref="E66:E67"/>
    <mergeCell ref="E68:E69"/>
    <mergeCell ref="E70:E71"/>
    <mergeCell ref="E72:E73"/>
    <mergeCell ref="E74:E75"/>
    <mergeCell ref="E52:E53"/>
    <mergeCell ref="E54:E55"/>
    <mergeCell ref="E56:E57"/>
    <mergeCell ref="E58:E59"/>
    <mergeCell ref="E60:E61"/>
    <mergeCell ref="E62:E63"/>
    <mergeCell ref="E40:E41"/>
    <mergeCell ref="E42:E43"/>
    <mergeCell ref="E44:E45"/>
    <mergeCell ref="E46:E47"/>
    <mergeCell ref="E48:E49"/>
    <mergeCell ref="E50:E51"/>
    <mergeCell ref="E28:E29"/>
    <mergeCell ref="E30:E31"/>
    <mergeCell ref="E32:E33"/>
    <mergeCell ref="E34:E35"/>
    <mergeCell ref="E36:E37"/>
    <mergeCell ref="E38:E39"/>
    <mergeCell ref="E16:E17"/>
    <mergeCell ref="E18:E19"/>
    <mergeCell ref="E20:E21"/>
    <mergeCell ref="E22:E23"/>
    <mergeCell ref="E24:E25"/>
    <mergeCell ref="E26:E27"/>
    <mergeCell ref="E2:E3"/>
    <mergeCell ref="E4:E5"/>
    <mergeCell ref="E6:E7"/>
    <mergeCell ref="E8:E9"/>
    <mergeCell ref="E10:E11"/>
    <mergeCell ref="E12:E13"/>
    <mergeCell ref="E14:E15"/>
    <mergeCell ref="A103:A106"/>
    <mergeCell ref="A107:A110"/>
    <mergeCell ref="A87:A88"/>
    <mergeCell ref="A89:A90"/>
    <mergeCell ref="A91:A92"/>
    <mergeCell ref="A93:A94"/>
    <mergeCell ref="A95:A96"/>
    <mergeCell ref="A97:A98"/>
    <mergeCell ref="A74:A75"/>
    <mergeCell ref="A76:A77"/>
    <mergeCell ref="A78:A80"/>
    <mergeCell ref="A81:A82"/>
    <mergeCell ref="A83:A84"/>
    <mergeCell ref="A85:A86"/>
    <mergeCell ref="A62:A63"/>
    <mergeCell ref="A64:A65"/>
    <mergeCell ref="A66:A67"/>
    <mergeCell ref="A68:A69"/>
    <mergeCell ref="A70:A71"/>
    <mergeCell ref="A72:A73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B113:K114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99:A102"/>
  </mergeCells>
  <conditionalFormatting sqref="L2:L110 O2:O110">
    <cfRule type="cellIs" dxfId="10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2D70-1E09-436B-9E88-42903F8B2752}">
  <dimension ref="A1:Y109"/>
  <sheetViews>
    <sheetView workbookViewId="0">
      <pane xSplit="1" topLeftCell="I1" activePane="topRight" state="frozen"/>
      <selection pane="topRight" activeCell="F7" sqref="F7"/>
    </sheetView>
  </sheetViews>
  <sheetFormatPr baseColWidth="10" defaultRowHeight="14.5" x14ac:dyDescent="0.35"/>
  <cols>
    <col min="1" max="1" width="13.81640625" bestFit="1" customWidth="1"/>
    <col min="2" max="2" width="9" bestFit="1" customWidth="1"/>
    <col min="3" max="3" width="12" bestFit="1" customWidth="1"/>
    <col min="4" max="5" width="11.81640625" bestFit="1" customWidth="1"/>
    <col min="6" max="6" width="15.54296875" bestFit="1" customWidth="1"/>
    <col min="7" max="7" width="11.7265625" customWidth="1"/>
    <col min="9" max="9" width="12.453125" bestFit="1" customWidth="1"/>
    <col min="10" max="11" width="11.453125" customWidth="1"/>
    <col min="12" max="12" width="10.81640625" bestFit="1" customWidth="1"/>
    <col min="15" max="15" width="11.6328125" bestFit="1" customWidth="1"/>
    <col min="16" max="17" width="10.90625" style="84"/>
    <col min="18" max="18" width="13.6328125" bestFit="1" customWidth="1"/>
    <col min="19" max="19" width="12" customWidth="1"/>
    <col min="22" max="22" width="14.26953125" bestFit="1" customWidth="1"/>
    <col min="23" max="24" width="14.26953125" customWidth="1"/>
  </cols>
  <sheetData>
    <row r="1" spans="1:25" x14ac:dyDescent="0.35">
      <c r="A1" t="s">
        <v>61</v>
      </c>
      <c r="C1">
        <v>200</v>
      </c>
      <c r="F1" s="43">
        <v>200</v>
      </c>
      <c r="G1" s="43"/>
      <c r="I1" s="43">
        <v>220</v>
      </c>
      <c r="J1" s="43"/>
      <c r="K1" s="43"/>
      <c r="L1" s="43">
        <v>210</v>
      </c>
      <c r="M1" s="43">
        <v>200</v>
      </c>
      <c r="N1" s="43"/>
      <c r="O1" s="43">
        <v>200</v>
      </c>
      <c r="P1" s="82">
        <v>200</v>
      </c>
      <c r="Q1" s="83"/>
      <c r="R1" s="43">
        <v>205</v>
      </c>
      <c r="S1" s="43"/>
      <c r="T1" s="43">
        <v>205</v>
      </c>
      <c r="U1" s="43"/>
      <c r="V1" s="43">
        <v>210</v>
      </c>
      <c r="W1" s="43">
        <v>210</v>
      </c>
      <c r="X1" s="43"/>
    </row>
    <row r="2" spans="1:25" x14ac:dyDescent="0.35">
      <c r="A2" t="s">
        <v>62</v>
      </c>
      <c r="C2">
        <v>10</v>
      </c>
      <c r="F2" s="43">
        <v>10</v>
      </c>
      <c r="G2" s="43"/>
      <c r="I2" s="43">
        <v>30</v>
      </c>
      <c r="J2" s="43"/>
      <c r="K2" s="43"/>
      <c r="L2" s="43">
        <v>20</v>
      </c>
      <c r="M2" s="43">
        <v>10</v>
      </c>
      <c r="N2" s="43"/>
      <c r="O2" s="43">
        <v>10</v>
      </c>
      <c r="P2" s="82">
        <v>10</v>
      </c>
      <c r="Q2" s="83"/>
      <c r="R2" s="43">
        <v>10</v>
      </c>
      <c r="S2" s="43"/>
      <c r="T2" s="43">
        <v>10</v>
      </c>
      <c r="U2" s="43"/>
      <c r="V2" s="43">
        <v>20</v>
      </c>
      <c r="W2" s="43">
        <v>20</v>
      </c>
      <c r="X2" s="43"/>
    </row>
    <row r="3" spans="1:25" x14ac:dyDescent="0.35">
      <c r="A3" t="s">
        <v>64</v>
      </c>
      <c r="C3">
        <v>4</v>
      </c>
      <c r="F3" s="44">
        <v>16</v>
      </c>
      <c r="G3" s="44"/>
      <c r="I3">
        <v>1</v>
      </c>
      <c r="L3" s="43">
        <v>1</v>
      </c>
      <c r="M3" s="43">
        <v>1</v>
      </c>
      <c r="N3" s="43"/>
      <c r="O3" s="43">
        <v>16</v>
      </c>
      <c r="P3" s="82">
        <v>32</v>
      </c>
      <c r="Q3" s="83"/>
      <c r="R3" s="43">
        <v>2</v>
      </c>
      <c r="S3" s="43"/>
      <c r="T3" s="43">
        <v>1</v>
      </c>
      <c r="U3" s="43"/>
      <c r="V3">
        <v>1</v>
      </c>
      <c r="W3">
        <v>1</v>
      </c>
    </row>
    <row r="4" spans="1:25" x14ac:dyDescent="0.35">
      <c r="A4" t="s">
        <v>150</v>
      </c>
      <c r="F4" s="44">
        <v>39.58</v>
      </c>
      <c r="G4" s="44"/>
      <c r="I4" s="43">
        <f>6.22*10^3</f>
        <v>6220</v>
      </c>
      <c r="J4" s="43"/>
      <c r="K4" s="43"/>
      <c r="L4" s="43">
        <f>6.22*10^3</f>
        <v>6220</v>
      </c>
      <c r="M4" s="43">
        <f>6.22*10^3</f>
        <v>6220</v>
      </c>
      <c r="N4" s="43"/>
      <c r="O4" s="43">
        <v>9600</v>
      </c>
      <c r="P4" s="82">
        <v>9600</v>
      </c>
      <c r="Q4" s="83"/>
      <c r="R4" s="43">
        <v>21000</v>
      </c>
      <c r="S4" s="43"/>
      <c r="T4" s="43">
        <v>21000</v>
      </c>
      <c r="U4" s="43"/>
      <c r="V4" s="43">
        <f>6.22*10^3</f>
        <v>6220</v>
      </c>
      <c r="W4" s="43">
        <f>6.22*10^3</f>
        <v>6220</v>
      </c>
      <c r="X4" s="43"/>
    </row>
    <row r="5" spans="1:25" x14ac:dyDescent="0.35">
      <c r="L5" t="s">
        <v>162</v>
      </c>
      <c r="M5" t="s">
        <v>86</v>
      </c>
      <c r="O5" t="s">
        <v>162</v>
      </c>
      <c r="P5" s="84" t="s">
        <v>86</v>
      </c>
    </row>
    <row r="6" spans="1:25" x14ac:dyDescent="0.35">
      <c r="A6" t="s">
        <v>157</v>
      </c>
      <c r="C6">
        <v>19.068750000000001</v>
      </c>
      <c r="E6" t="s">
        <v>169</v>
      </c>
      <c r="G6" s="45"/>
      <c r="H6" t="s">
        <v>169</v>
      </c>
      <c r="J6" t="s">
        <v>169</v>
      </c>
      <c r="P6" s="84" t="s">
        <v>172</v>
      </c>
      <c r="Q6" s="84" t="s">
        <v>173</v>
      </c>
      <c r="S6" t="s">
        <v>176</v>
      </c>
      <c r="U6" t="s">
        <v>177</v>
      </c>
      <c r="W6" t="s">
        <v>178</v>
      </c>
      <c r="X6" t="s">
        <v>179</v>
      </c>
    </row>
    <row r="7" spans="1:25" x14ac:dyDescent="0.35">
      <c r="A7" s="76" t="s">
        <v>102</v>
      </c>
      <c r="B7" s="76" t="s">
        <v>103</v>
      </c>
      <c r="C7" s="76" t="s">
        <v>151</v>
      </c>
      <c r="D7" s="76" t="s">
        <v>156</v>
      </c>
      <c r="E7" s="51" t="s">
        <v>158</v>
      </c>
      <c r="F7" s="76" t="s">
        <v>167</v>
      </c>
      <c r="G7" s="80" t="s">
        <v>168</v>
      </c>
      <c r="H7" s="77" t="s">
        <v>159</v>
      </c>
      <c r="I7" s="76" t="s">
        <v>152</v>
      </c>
      <c r="J7" s="50" t="s">
        <v>160</v>
      </c>
      <c r="K7" s="50" t="s">
        <v>170</v>
      </c>
      <c r="L7" s="76" t="s">
        <v>153</v>
      </c>
      <c r="M7" s="78" t="s">
        <v>161</v>
      </c>
      <c r="N7" s="78" t="s">
        <v>171</v>
      </c>
      <c r="O7" s="76" t="s">
        <v>154</v>
      </c>
      <c r="P7" s="85" t="s">
        <v>163</v>
      </c>
      <c r="Q7" s="85"/>
      <c r="R7" s="76" t="s">
        <v>174</v>
      </c>
      <c r="S7" s="80" t="s">
        <v>168</v>
      </c>
      <c r="T7" s="48" t="s">
        <v>164</v>
      </c>
      <c r="U7" s="86" t="s">
        <v>175</v>
      </c>
      <c r="V7" s="76" t="s">
        <v>155</v>
      </c>
      <c r="W7" s="79" t="s">
        <v>180</v>
      </c>
      <c r="X7" s="79" t="s">
        <v>165</v>
      </c>
      <c r="Y7" t="s">
        <v>113</v>
      </c>
    </row>
    <row r="8" spans="1:25" x14ac:dyDescent="0.35">
      <c r="A8">
        <v>1</v>
      </c>
      <c r="B8" t="s">
        <v>104</v>
      </c>
      <c r="C8" s="45">
        <v>7.2313000000000001</v>
      </c>
      <c r="D8" s="45">
        <f>($C$6-C8)/$C$6</f>
        <v>0.62077745001638807</v>
      </c>
      <c r="E8" s="45">
        <f t="shared" ref="E8:E39" si="0">(D8/0.5)*($C$3/$C$2*Y8)</f>
        <v>4.1045804995083577</v>
      </c>
      <c r="F8" s="45">
        <v>-10.7897</v>
      </c>
      <c r="G8" s="45">
        <v>-1.0789699999999999E-2</v>
      </c>
      <c r="H8" s="45">
        <f t="shared" ref="H8:H39" si="1">(-G8*$F$1*$F$3)/($F$4*$F$2*0.6*Y8*10^-3)</f>
        <v>17.590956301500505</v>
      </c>
      <c r="I8" s="45">
        <v>4.9528571428571616E-3</v>
      </c>
      <c r="J8" s="45">
        <f t="shared" ref="J8:J39" si="2">(-I8*I$1*I$3)/(I$4*I$2*0.6*$Y8*10^-3)</f>
        <v>-1.177532045115689E-3</v>
      </c>
      <c r="K8" s="45">
        <f>J8*1000</f>
        <v>-1.177532045115689</v>
      </c>
      <c r="L8" s="45">
        <v>-3.0649999999999997E-2</v>
      </c>
      <c r="M8" s="45">
        <f t="shared" ref="M8:M39" si="3">(-L8*L$1*L$3)/(L$4*L$2*0.6*$Y8*10^-3)</f>
        <v>1.043362647665844E-2</v>
      </c>
      <c r="N8" s="45">
        <f>M8*1000</f>
        <v>10.433626476658439</v>
      </c>
      <c r="O8" s="45">
        <v>17.908000000000001</v>
      </c>
      <c r="P8" s="84">
        <f>(O8*O$1*O$3)/(O$4*O$2*0.6*10^-3)</f>
        <v>994.88888888888891</v>
      </c>
      <c r="Q8" s="84">
        <f>P8/Y8</f>
        <v>120.37373126302347</v>
      </c>
      <c r="R8" s="45">
        <v>-4.0467500000000012</v>
      </c>
      <c r="S8" s="45">
        <f>R8/1000</f>
        <v>-4.0467500000000009E-3</v>
      </c>
      <c r="T8" s="45">
        <f>(-S8*R$1*R$3)/(R$4*R$2*0.6*$Y8*10^-3)</f>
        <v>1.593223960283852E-3</v>
      </c>
      <c r="U8" s="45">
        <f>T8*1000</f>
        <v>1.593223960283852</v>
      </c>
      <c r="V8" s="45">
        <v>3.6090000000000002E-3</v>
      </c>
      <c r="W8" s="45">
        <f>(V8*V$1*V$3)/(V$4*V$2*0.6*$Y8*10^-3)</f>
        <v>1.2285467521781506E-3</v>
      </c>
      <c r="X8" s="45">
        <f>W8*1000</f>
        <v>1.2285467521781506</v>
      </c>
      <c r="Y8" s="45">
        <v>8.2649999999999988</v>
      </c>
    </row>
    <row r="9" spans="1:25" x14ac:dyDescent="0.35">
      <c r="A9">
        <v>2</v>
      </c>
      <c r="B9" t="s">
        <v>104</v>
      </c>
      <c r="C9" s="45">
        <v>7.9558499999999999</v>
      </c>
      <c r="D9" s="45">
        <f t="shared" ref="D9:D72" si="4">($C$6-C9)/$C$6</f>
        <v>0.58278072763028521</v>
      </c>
      <c r="E9" s="45">
        <f t="shared" si="0"/>
        <v>2.6644734867256639</v>
      </c>
      <c r="F9" s="45">
        <v>-5.3513500000000001</v>
      </c>
      <c r="G9" s="45">
        <f t="shared" ref="G9:G72" si="5">F9/1000</f>
        <v>-5.3513500000000004E-3</v>
      </c>
      <c r="H9" s="45">
        <f t="shared" si="1"/>
        <v>12.617405475486192</v>
      </c>
      <c r="I9" s="45">
        <v>-5.1157142857142845E-2</v>
      </c>
      <c r="J9" s="45">
        <f t="shared" si="2"/>
        <v>1.75893518847836E-2</v>
      </c>
      <c r="K9" s="45">
        <f t="shared" ref="K9:K72" si="6">J9*1000</f>
        <v>17.5893518847836</v>
      </c>
      <c r="L9" s="45">
        <v>-2.4274999999999998E-2</v>
      </c>
      <c r="M9" s="45">
        <f t="shared" si="3"/>
        <v>1.1950626348555305E-2</v>
      </c>
      <c r="N9" s="45">
        <f t="shared" ref="N9:N72" si="7">M9*1000</f>
        <v>11.950626348555305</v>
      </c>
      <c r="O9" s="45">
        <v>11.346499999999999</v>
      </c>
      <c r="P9" s="84">
        <f t="shared" ref="P9:P58" si="8">(O9*O$1*O$3)/(O$4*O$2*0.6*10^-3)</f>
        <v>630.36111111111097</v>
      </c>
      <c r="Q9" s="84">
        <f t="shared" ref="Q9:Q72" si="9">P9/Y9</f>
        <v>110.29940701856709</v>
      </c>
      <c r="R9" s="45">
        <v>-3.2777500000000011</v>
      </c>
      <c r="S9" s="45">
        <f t="shared" ref="S9:S72" si="10">R9/1000</f>
        <v>-3.2777500000000011E-3</v>
      </c>
      <c r="T9" s="45">
        <f t="shared" ref="T9:T58" si="11">(-S9*R$1*R$3)/(R$4*R$2*0.6*$Y9*10^-3)</f>
        <v>1.8662632448721694E-3</v>
      </c>
      <c r="U9" s="45">
        <f t="shared" ref="U9:U72" si="12">T9*1000</f>
        <v>1.8662632448721694</v>
      </c>
      <c r="V9" s="45">
        <v>5.8650000000000004E-3</v>
      </c>
      <c r="W9" s="45">
        <f t="shared" ref="W9:W58" si="13">(V9*V$1*V$3)/(V$4*V$2*0.6*$Y9*10^-3)</f>
        <v>2.8873500940999742E-3</v>
      </c>
      <c r="X9" s="45">
        <f t="shared" ref="X9:X72" si="14">W9*1000</f>
        <v>2.8873500940999741</v>
      </c>
      <c r="Y9" s="45">
        <v>5.7149999999999999</v>
      </c>
    </row>
    <row r="10" spans="1:25" x14ac:dyDescent="0.35">
      <c r="A10">
        <v>3</v>
      </c>
      <c r="B10" t="s">
        <v>104</v>
      </c>
      <c r="C10" s="45">
        <v>8.4469500000000011</v>
      </c>
      <c r="D10" s="45">
        <f t="shared" si="4"/>
        <v>0.5570265486725664</v>
      </c>
      <c r="E10" s="45">
        <f t="shared" si="0"/>
        <v>2.8542040353982312</v>
      </c>
      <c r="F10" s="45">
        <v>-7.3625999999999996</v>
      </c>
      <c r="G10" s="45">
        <f t="shared" si="5"/>
        <v>-7.3625999999999995E-3</v>
      </c>
      <c r="H10" s="45">
        <f t="shared" si="1"/>
        <v>15.489414811808135</v>
      </c>
      <c r="I10" s="45">
        <v>-5.1157142857142845E-2</v>
      </c>
      <c r="J10" s="45">
        <f t="shared" si="2"/>
        <v>1.5694480253167564E-2</v>
      </c>
      <c r="K10" s="45">
        <f t="shared" si="6"/>
        <v>15.694480253167564</v>
      </c>
      <c r="L10" s="45">
        <v>-1.9505000000000002E-2</v>
      </c>
      <c r="M10" s="45">
        <f t="shared" si="3"/>
        <v>8.5679018853337535E-3</v>
      </c>
      <c r="N10" s="45">
        <f t="shared" si="7"/>
        <v>8.5679018853337539</v>
      </c>
      <c r="O10" s="45">
        <v>15.070499999999999</v>
      </c>
      <c r="P10" s="84">
        <f t="shared" si="8"/>
        <v>837.25</v>
      </c>
      <c r="Q10" s="84">
        <f t="shared" si="9"/>
        <v>130.7181889149102</v>
      </c>
      <c r="R10" s="45">
        <v>-8.5577499999999986</v>
      </c>
      <c r="S10" s="45">
        <f t="shared" si="10"/>
        <v>-8.5577499999999994E-3</v>
      </c>
      <c r="T10" s="45">
        <f t="shared" si="11"/>
        <v>4.3476419711782699E-3</v>
      </c>
      <c r="U10" s="45">
        <f t="shared" si="12"/>
        <v>4.3476419711782697</v>
      </c>
      <c r="V10" s="45">
        <v>1.6539999999999999E-3</v>
      </c>
      <c r="W10" s="45">
        <f t="shared" si="13"/>
        <v>7.2654753746947075E-4</v>
      </c>
      <c r="X10" s="45">
        <f t="shared" si="14"/>
        <v>0.72654753746947076</v>
      </c>
      <c r="Y10" s="45">
        <v>6.4050000000000011</v>
      </c>
    </row>
    <row r="11" spans="1:25" x14ac:dyDescent="0.35">
      <c r="A11">
        <v>4</v>
      </c>
      <c r="B11" t="s">
        <v>104</v>
      </c>
      <c r="C11" s="45">
        <v>8.0723000000000003</v>
      </c>
      <c r="D11" s="45">
        <f t="shared" si="4"/>
        <v>0.5766738774172403</v>
      </c>
      <c r="E11" s="45">
        <f t="shared" si="0"/>
        <v>2.5950324483775815</v>
      </c>
      <c r="F11" s="45">
        <v>-7.7692499999999995</v>
      </c>
      <c r="G11" s="45">
        <f t="shared" si="5"/>
        <v>-7.7692499999999992E-3</v>
      </c>
      <c r="H11" s="45">
        <f t="shared" si="1"/>
        <v>18.611419909044976</v>
      </c>
      <c r="I11" s="45">
        <v>-0.11725714285714284</v>
      </c>
      <c r="J11" s="45">
        <f t="shared" si="2"/>
        <v>4.0961567906905527E-2</v>
      </c>
      <c r="K11" s="45">
        <f t="shared" si="6"/>
        <v>40.961567906905529</v>
      </c>
      <c r="L11" s="45">
        <v>-2.4645E-2</v>
      </c>
      <c r="M11" s="45">
        <f t="shared" si="3"/>
        <v>1.2326902465166129E-2</v>
      </c>
      <c r="N11" s="45">
        <f t="shared" si="7"/>
        <v>12.326902465166128</v>
      </c>
      <c r="O11" s="45">
        <v>10.754000000000001</v>
      </c>
      <c r="P11" s="84">
        <f t="shared" si="8"/>
        <v>597.44444444444446</v>
      </c>
      <c r="Q11" s="84">
        <f t="shared" si="9"/>
        <v>106.21234567901234</v>
      </c>
      <c r="R11" s="45">
        <v>-9.401250000000001</v>
      </c>
      <c r="S11" s="45">
        <f t="shared" si="10"/>
        <v>-9.4012500000000016E-3</v>
      </c>
      <c r="T11" s="45">
        <f t="shared" si="11"/>
        <v>5.4384656084656095E-3</v>
      </c>
      <c r="U11" s="45">
        <f t="shared" si="12"/>
        <v>5.4384656084656093</v>
      </c>
      <c r="V11" s="45">
        <v>1.4660000000000001E-3</v>
      </c>
      <c r="W11" s="45">
        <f t="shared" si="13"/>
        <v>7.3326187924258664E-4</v>
      </c>
      <c r="X11" s="45">
        <f t="shared" si="14"/>
        <v>0.73326187924258668</v>
      </c>
      <c r="Y11" s="45">
        <v>5.625</v>
      </c>
    </row>
    <row r="12" spans="1:25" x14ac:dyDescent="0.35">
      <c r="A12">
        <v>5</v>
      </c>
      <c r="B12" t="s">
        <v>104</v>
      </c>
      <c r="C12" s="45">
        <v>9.9887499999999996</v>
      </c>
      <c r="D12" s="45">
        <f t="shared" si="4"/>
        <v>0.47617174696820719</v>
      </c>
      <c r="E12" s="45">
        <f t="shared" si="0"/>
        <v>1.5827948869223207</v>
      </c>
      <c r="F12" s="45">
        <v>-4.7940500000000004</v>
      </c>
      <c r="G12" s="45">
        <f t="shared" si="5"/>
        <v>-4.7940500000000002E-3</v>
      </c>
      <c r="H12" s="45">
        <f t="shared" si="1"/>
        <v>15.547281757288271</v>
      </c>
      <c r="I12" s="45">
        <v>-6.4157142857142829E-2</v>
      </c>
      <c r="J12" s="45">
        <f t="shared" si="2"/>
        <v>3.0341271591692365E-2</v>
      </c>
      <c r="K12" s="45">
        <f t="shared" si="6"/>
        <v>30.341271591692365</v>
      </c>
      <c r="L12" s="45">
        <v>-1.8855E-2</v>
      </c>
      <c r="M12" s="45">
        <f t="shared" si="3"/>
        <v>1.27674208039746E-2</v>
      </c>
      <c r="N12" s="45">
        <f t="shared" si="7"/>
        <v>12.7674208039746</v>
      </c>
      <c r="O12" s="45">
        <v>9.5443999999999996</v>
      </c>
      <c r="P12" s="84">
        <f t="shared" si="8"/>
        <v>530.24444444444441</v>
      </c>
      <c r="Q12" s="84">
        <f t="shared" si="9"/>
        <v>127.61599144270623</v>
      </c>
      <c r="R12" s="45">
        <v>-3.5577500000000004</v>
      </c>
      <c r="S12" s="45">
        <f t="shared" si="10"/>
        <v>-3.5577500000000006E-3</v>
      </c>
      <c r="T12" s="45">
        <f t="shared" si="11"/>
        <v>2.7862347907474262E-3</v>
      </c>
      <c r="U12" s="45">
        <f t="shared" si="12"/>
        <v>2.7862347907474261</v>
      </c>
      <c r="V12" s="45">
        <v>3.1579999999999998E-3</v>
      </c>
      <c r="W12" s="45">
        <f t="shared" si="13"/>
        <v>2.1383990930231656E-3</v>
      </c>
      <c r="X12" s="45">
        <f t="shared" si="14"/>
        <v>2.1383990930231658</v>
      </c>
      <c r="Y12" s="45">
        <v>4.1550000000000002</v>
      </c>
    </row>
    <row r="13" spans="1:25" x14ac:dyDescent="0.35">
      <c r="A13">
        <v>6</v>
      </c>
      <c r="B13" t="s">
        <v>104</v>
      </c>
      <c r="C13" s="45">
        <v>8.5308500000000009</v>
      </c>
      <c r="D13" s="45">
        <f t="shared" si="4"/>
        <v>0.55262667977712221</v>
      </c>
      <c r="E13" s="45">
        <f t="shared" si="0"/>
        <v>2.4801885388397249</v>
      </c>
      <c r="F13" s="45">
        <v>-9.2689000000000004</v>
      </c>
      <c r="G13" s="45">
        <f t="shared" si="5"/>
        <v>-9.2689000000000001E-3</v>
      </c>
      <c r="H13" s="45">
        <f t="shared" si="1"/>
        <v>22.263235151503139</v>
      </c>
      <c r="I13" s="45">
        <v>-9.9714285714283535E-4</v>
      </c>
      <c r="J13" s="45">
        <f t="shared" si="2"/>
        <v>3.4926439314560354E-4</v>
      </c>
      <c r="K13" s="45">
        <f t="shared" si="6"/>
        <v>0.34926439314560354</v>
      </c>
      <c r="L13" s="45">
        <v>-2.3099999999999999E-2</v>
      </c>
      <c r="M13" s="45">
        <f t="shared" si="3"/>
        <v>1.1585019860034044E-2</v>
      </c>
      <c r="N13" s="45">
        <f t="shared" si="7"/>
        <v>11.585019860034045</v>
      </c>
      <c r="O13" s="45">
        <v>19.8735</v>
      </c>
      <c r="P13" s="84">
        <f t="shared" si="8"/>
        <v>1104.0833333333333</v>
      </c>
      <c r="Q13" s="84">
        <f t="shared" si="9"/>
        <v>196.80629827688648</v>
      </c>
      <c r="R13" s="45">
        <v>-4.9652500000000011</v>
      </c>
      <c r="S13" s="45">
        <f t="shared" si="10"/>
        <v>-4.9652500000000009E-3</v>
      </c>
      <c r="T13" s="45">
        <f t="shared" si="11"/>
        <v>2.8799939167586234E-3</v>
      </c>
      <c r="U13" s="45">
        <f t="shared" si="12"/>
        <v>2.8799939167586235</v>
      </c>
      <c r="V13" s="45">
        <v>1.6240000000000002E-3</v>
      </c>
      <c r="W13" s="45">
        <f t="shared" si="13"/>
        <v>8.1446200228118149E-4</v>
      </c>
      <c r="X13" s="45">
        <f t="shared" si="14"/>
        <v>0.81446200228118149</v>
      </c>
      <c r="Y13" s="45">
        <v>5.61</v>
      </c>
    </row>
    <row r="14" spans="1:25" x14ac:dyDescent="0.35">
      <c r="A14">
        <v>7</v>
      </c>
      <c r="B14" t="s">
        <v>104</v>
      </c>
      <c r="C14" s="45">
        <v>8.0462500000000006</v>
      </c>
      <c r="D14" s="45">
        <f t="shared" si="4"/>
        <v>0.57803998688954439</v>
      </c>
      <c r="E14" s="45">
        <f t="shared" si="0"/>
        <v>3.0104322517207471</v>
      </c>
      <c r="F14" s="45">
        <v>-7.7476500000000001</v>
      </c>
      <c r="G14" s="45">
        <f t="shared" si="5"/>
        <v>-7.74765E-3</v>
      </c>
      <c r="H14" s="45">
        <f t="shared" si="1"/>
        <v>16.036586927718002</v>
      </c>
      <c r="I14" s="45">
        <v>-7.3557142857142849E-2</v>
      </c>
      <c r="J14" s="45">
        <f t="shared" si="2"/>
        <v>2.220259077135216E-2</v>
      </c>
      <c r="K14" s="45">
        <f t="shared" si="6"/>
        <v>22.20259077135216</v>
      </c>
      <c r="L14" s="45">
        <v>-2.6605E-2</v>
      </c>
      <c r="M14" s="45">
        <f t="shared" si="3"/>
        <v>1.1498202122877986E-2</v>
      </c>
      <c r="N14" s="45">
        <f t="shared" si="7"/>
        <v>11.498202122877986</v>
      </c>
      <c r="O14" s="45">
        <v>21.551000000000002</v>
      </c>
      <c r="P14" s="84">
        <f t="shared" si="8"/>
        <v>1197.2777777777781</v>
      </c>
      <c r="Q14" s="84">
        <f t="shared" si="9"/>
        <v>183.91363713944364</v>
      </c>
      <c r="R14" s="45">
        <v>-8.2887500000000003</v>
      </c>
      <c r="S14" s="45">
        <f t="shared" si="10"/>
        <v>-8.288750000000001E-3</v>
      </c>
      <c r="T14" s="45">
        <f t="shared" si="11"/>
        <v>4.1430613464023608E-3</v>
      </c>
      <c r="U14" s="45">
        <f t="shared" si="12"/>
        <v>4.1430613464023605</v>
      </c>
      <c r="V14" s="45">
        <v>3.1580000000000003E-4</v>
      </c>
      <c r="W14" s="45">
        <f t="shared" si="13"/>
        <v>1.3648307575286106E-4</v>
      </c>
      <c r="X14" s="45">
        <f t="shared" si="14"/>
        <v>0.13648307575286106</v>
      </c>
      <c r="Y14" s="45">
        <v>6.51</v>
      </c>
    </row>
    <row r="15" spans="1:25" x14ac:dyDescent="0.35">
      <c r="A15">
        <v>8</v>
      </c>
      <c r="B15" t="s">
        <v>104</v>
      </c>
      <c r="C15" s="45">
        <v>8.1576000000000004</v>
      </c>
      <c r="D15" s="45">
        <f t="shared" si="4"/>
        <v>0.57220058997050149</v>
      </c>
      <c r="E15" s="45">
        <f t="shared" si="0"/>
        <v>3.5224668318584076</v>
      </c>
      <c r="F15" s="45">
        <v>-13.567</v>
      </c>
      <c r="G15" s="45">
        <f t="shared" si="5"/>
        <v>-1.3567000000000001E-2</v>
      </c>
      <c r="H15" s="45">
        <f t="shared" si="1"/>
        <v>23.757357823532189</v>
      </c>
      <c r="I15" s="45">
        <v>-0.14285714285714285</v>
      </c>
      <c r="J15" s="45">
        <f t="shared" si="2"/>
        <v>3.6479856967123719E-2</v>
      </c>
      <c r="K15" s="45">
        <f t="shared" si="6"/>
        <v>36.479856967123716</v>
      </c>
      <c r="L15" s="45">
        <v>-3.6670000000000001E-2</v>
      </c>
      <c r="M15" s="45">
        <f t="shared" si="3"/>
        <v>1.3407566194275732E-2</v>
      </c>
      <c r="N15" s="45">
        <f t="shared" si="7"/>
        <v>13.407566194275732</v>
      </c>
      <c r="O15" s="45">
        <v>19.291499999999999</v>
      </c>
      <c r="P15" s="84">
        <f t="shared" si="8"/>
        <v>1071.75</v>
      </c>
      <c r="Q15" s="84">
        <f t="shared" si="9"/>
        <v>139.27875243664718</v>
      </c>
      <c r="R15" s="45">
        <v>-14.740749999999998</v>
      </c>
      <c r="S15" s="45">
        <f t="shared" si="10"/>
        <v>-1.4740749999999999E-2</v>
      </c>
      <c r="T15" s="45">
        <f t="shared" si="11"/>
        <v>6.2333895438183929E-3</v>
      </c>
      <c r="U15" s="45">
        <f t="shared" si="12"/>
        <v>6.2333895438183928</v>
      </c>
      <c r="V15" s="45">
        <v>9.1090000000000008E-4</v>
      </c>
      <c r="W15" s="45">
        <f t="shared" si="13"/>
        <v>3.3305023306151528E-4</v>
      </c>
      <c r="X15" s="45">
        <f t="shared" si="14"/>
        <v>0.33305023306151527</v>
      </c>
      <c r="Y15" s="45">
        <v>7.6950000000000003</v>
      </c>
    </row>
    <row r="16" spans="1:25" x14ac:dyDescent="0.35">
      <c r="A16">
        <v>9</v>
      </c>
      <c r="B16" t="s">
        <v>104</v>
      </c>
      <c r="C16" s="45">
        <v>8.1356999999999999</v>
      </c>
      <c r="D16" s="45">
        <f t="shared" si="4"/>
        <v>0.57334906588003942</v>
      </c>
      <c r="E16" s="45">
        <f t="shared" si="0"/>
        <v>1.6374849321533924</v>
      </c>
      <c r="F16" s="45">
        <v>-7.5870499999999996</v>
      </c>
      <c r="G16" s="45">
        <f t="shared" si="5"/>
        <v>-7.5870499999999997E-3</v>
      </c>
      <c r="H16" s="45">
        <f t="shared" si="1"/>
        <v>28.637009798023978</v>
      </c>
      <c r="I16" s="45">
        <v>3.6228571428571638E-3</v>
      </c>
      <c r="J16" s="45">
        <f t="shared" si="2"/>
        <v>-1.9940809478489622E-3</v>
      </c>
      <c r="K16" s="45">
        <f t="shared" si="6"/>
        <v>-1.9940809478489621</v>
      </c>
      <c r="L16" s="45">
        <v>-2.9059999999999999E-2</v>
      </c>
      <c r="M16" s="45">
        <f t="shared" si="3"/>
        <v>2.2902086879767986E-2</v>
      </c>
      <c r="N16" s="45">
        <f t="shared" si="7"/>
        <v>22.902086879767985</v>
      </c>
      <c r="O16" s="45">
        <v>15.643000000000001</v>
      </c>
      <c r="P16" s="84">
        <f t="shared" si="8"/>
        <v>869.05555555555566</v>
      </c>
      <c r="Q16" s="84">
        <f t="shared" si="9"/>
        <v>243.4329287270464</v>
      </c>
      <c r="R16" s="45">
        <v>-9.2522500000000001</v>
      </c>
      <c r="S16" s="45">
        <f t="shared" si="10"/>
        <v>-9.2522500000000001E-3</v>
      </c>
      <c r="T16" s="45">
        <f t="shared" si="11"/>
        <v>8.4332010582010581E-3</v>
      </c>
      <c r="U16" s="45">
        <f t="shared" si="12"/>
        <v>8.4332010582010586</v>
      </c>
      <c r="V16" s="45">
        <v>6.7670000000000004E-3</v>
      </c>
      <c r="W16" s="45">
        <f t="shared" si="13"/>
        <v>5.333049618561252E-3</v>
      </c>
      <c r="X16" s="45">
        <f t="shared" si="14"/>
        <v>5.3330496185612519</v>
      </c>
      <c r="Y16" s="45">
        <v>3.57</v>
      </c>
    </row>
    <row r="17" spans="1:25" x14ac:dyDescent="0.35">
      <c r="A17">
        <v>10</v>
      </c>
      <c r="B17" t="s">
        <v>104</v>
      </c>
      <c r="C17" s="45">
        <v>8.8402499999999993</v>
      </c>
      <c r="D17" s="45">
        <f t="shared" si="4"/>
        <v>0.536401179941003</v>
      </c>
      <c r="E17" s="45">
        <f t="shared" si="0"/>
        <v>2.8965663716814158</v>
      </c>
      <c r="F17" s="45">
        <v>-6.3127499999999994</v>
      </c>
      <c r="G17" s="45">
        <f t="shared" si="5"/>
        <v>-6.3127499999999998E-3</v>
      </c>
      <c r="H17" s="45">
        <f t="shared" si="1"/>
        <v>12.601950105739901</v>
      </c>
      <c r="I17" s="45">
        <v>-3.4457142857142839E-2</v>
      </c>
      <c r="J17" s="45">
        <f t="shared" si="2"/>
        <v>1.0030793310536072E-2</v>
      </c>
      <c r="K17" s="45">
        <f t="shared" si="6"/>
        <v>10.030793310536072</v>
      </c>
      <c r="L17" s="45">
        <v>-3.5765000000000005E-2</v>
      </c>
      <c r="M17" s="45">
        <f t="shared" si="3"/>
        <v>1.4907407407407411E-2</v>
      </c>
      <c r="N17" s="45">
        <f t="shared" si="7"/>
        <v>14.90740740740741</v>
      </c>
      <c r="O17" s="45">
        <v>10.818999999999999</v>
      </c>
      <c r="P17" s="84">
        <f t="shared" si="8"/>
        <v>601.05555555555543</v>
      </c>
      <c r="Q17" s="84">
        <f t="shared" si="9"/>
        <v>89.045267489711932</v>
      </c>
      <c r="R17" s="45">
        <v>-7.3302499999999995</v>
      </c>
      <c r="S17" s="45">
        <f t="shared" si="10"/>
        <v>-7.3302499999999991E-3</v>
      </c>
      <c r="T17" s="45">
        <f t="shared" si="11"/>
        <v>3.5336890064667846E-3</v>
      </c>
      <c r="U17" s="45">
        <f t="shared" si="12"/>
        <v>3.5336890064667847</v>
      </c>
      <c r="V17" s="45">
        <v>1.389E-2</v>
      </c>
      <c r="W17" s="45">
        <f t="shared" si="13"/>
        <v>5.7895677027509831E-3</v>
      </c>
      <c r="X17" s="45">
        <f t="shared" si="14"/>
        <v>5.7895677027509826</v>
      </c>
      <c r="Y17" s="45">
        <v>6.7499999999999991</v>
      </c>
    </row>
    <row r="18" spans="1:25" x14ac:dyDescent="0.35">
      <c r="A18">
        <v>11</v>
      </c>
      <c r="B18" t="s">
        <v>104</v>
      </c>
      <c r="C18" s="45">
        <v>8.546050000000001</v>
      </c>
      <c r="D18" s="45">
        <f t="shared" si="4"/>
        <v>0.55182956407735162</v>
      </c>
      <c r="E18" s="45">
        <f t="shared" si="0"/>
        <v>2.04618402359882</v>
      </c>
      <c r="F18" s="45">
        <v>-13.353</v>
      </c>
      <c r="G18" s="45">
        <f t="shared" si="5"/>
        <v>-1.3353E-2</v>
      </c>
      <c r="H18" s="45">
        <f t="shared" si="1"/>
        <v>38.819688716419932</v>
      </c>
      <c r="I18" s="45">
        <v>-8.7257142857142839E-2</v>
      </c>
      <c r="J18" s="45">
        <f t="shared" si="2"/>
        <v>3.6992274996832795E-2</v>
      </c>
      <c r="K18" s="45">
        <f t="shared" si="6"/>
        <v>36.992274996832798</v>
      </c>
      <c r="L18" s="45">
        <v>-0.03</v>
      </c>
      <c r="M18" s="45">
        <f t="shared" si="3"/>
        <v>1.8210387204861653E-2</v>
      </c>
      <c r="N18" s="45">
        <f t="shared" si="7"/>
        <v>18.210387204861654</v>
      </c>
      <c r="O18" s="45">
        <v>19.932000000000002</v>
      </c>
      <c r="P18" s="84">
        <f t="shared" si="8"/>
        <v>1107.3333333333335</v>
      </c>
      <c r="Q18" s="84">
        <f t="shared" si="9"/>
        <v>238.90686803308168</v>
      </c>
      <c r="R18" s="45">
        <v>-12.244750000000003</v>
      </c>
      <c r="S18" s="45">
        <f t="shared" si="10"/>
        <v>-1.2244750000000004E-2</v>
      </c>
      <c r="T18" s="45">
        <f t="shared" si="11"/>
        <v>8.5963382476327479E-3</v>
      </c>
      <c r="U18" s="45">
        <f t="shared" si="12"/>
        <v>8.5963382476327475</v>
      </c>
      <c r="V18" s="45">
        <v>7.4740000000000006E-3</v>
      </c>
      <c r="W18" s="45">
        <f t="shared" si="13"/>
        <v>4.5368144656378669E-3</v>
      </c>
      <c r="X18" s="45">
        <f t="shared" si="14"/>
        <v>4.5368144656378666</v>
      </c>
      <c r="Y18" s="45">
        <v>4.6349999999999998</v>
      </c>
    </row>
    <row r="19" spans="1:25" x14ac:dyDescent="0.35">
      <c r="A19">
        <v>12</v>
      </c>
      <c r="B19" t="s">
        <v>104</v>
      </c>
      <c r="C19" s="45">
        <v>9.1403999999999996</v>
      </c>
      <c r="D19" s="45">
        <f t="shared" si="4"/>
        <v>0.52066076696165198</v>
      </c>
      <c r="E19" s="45">
        <f t="shared" si="0"/>
        <v>1.6557012389380534</v>
      </c>
      <c r="F19" s="45">
        <v>-14.672499999999999</v>
      </c>
      <c r="G19" s="45">
        <f t="shared" si="5"/>
        <v>-1.46725E-2</v>
      </c>
      <c r="H19" s="45">
        <f t="shared" si="1"/>
        <v>49.738183844412454</v>
      </c>
      <c r="I19" s="45">
        <v>-3.2571428571428335E-3</v>
      </c>
      <c r="J19" s="45">
        <f t="shared" si="2"/>
        <v>1.610124524642501E-3</v>
      </c>
      <c r="K19" s="45">
        <f t="shared" si="6"/>
        <v>1.6101245246425009</v>
      </c>
      <c r="L19" s="45">
        <v>-2.9929999999999998E-2</v>
      </c>
      <c r="M19" s="45">
        <f t="shared" si="3"/>
        <v>2.118445266840583E-2</v>
      </c>
      <c r="N19" s="45">
        <f t="shared" si="7"/>
        <v>21.184452668405829</v>
      </c>
      <c r="O19" s="45">
        <v>16.1005</v>
      </c>
      <c r="P19" s="84">
        <f t="shared" si="8"/>
        <v>894.47222222222217</v>
      </c>
      <c r="Q19" s="84">
        <f t="shared" si="9"/>
        <v>225.02445842068482</v>
      </c>
      <c r="R19" s="45">
        <v>-9.0247500000000009</v>
      </c>
      <c r="S19" s="45">
        <f t="shared" si="10"/>
        <v>-9.0247500000000015E-3</v>
      </c>
      <c r="T19" s="45">
        <f t="shared" si="11"/>
        <v>7.3877358490566048E-3</v>
      </c>
      <c r="U19" s="45">
        <f t="shared" si="12"/>
        <v>7.3877358490566047</v>
      </c>
      <c r="V19" s="45">
        <v>1.7999999999999999E-2</v>
      </c>
      <c r="W19" s="45">
        <f t="shared" si="13"/>
        <v>1.2740399199174907E-2</v>
      </c>
      <c r="X19" s="45">
        <f t="shared" si="14"/>
        <v>12.740399199174908</v>
      </c>
      <c r="Y19" s="45">
        <v>3.9750000000000001</v>
      </c>
    </row>
    <row r="20" spans="1:25" x14ac:dyDescent="0.35">
      <c r="A20">
        <v>13</v>
      </c>
      <c r="B20" t="s">
        <v>104</v>
      </c>
      <c r="C20" s="45">
        <v>8.577</v>
      </c>
      <c r="D20" s="45">
        <f t="shared" si="4"/>
        <v>0.55020648967551622</v>
      </c>
      <c r="E20" s="45">
        <f t="shared" si="0"/>
        <v>2.3702895575221237</v>
      </c>
      <c r="F20" s="45">
        <v>-14.979500000000002</v>
      </c>
      <c r="G20" s="45">
        <f t="shared" si="5"/>
        <v>-1.4979500000000001E-2</v>
      </c>
      <c r="H20" s="45">
        <f t="shared" si="1"/>
        <v>37.483017677567425</v>
      </c>
      <c r="I20" s="45">
        <v>-0.24765714285714283</v>
      </c>
      <c r="J20" s="45">
        <f t="shared" si="2"/>
        <v>9.0370137213369117E-2</v>
      </c>
      <c r="K20" s="45">
        <f t="shared" si="6"/>
        <v>90.370137213369119</v>
      </c>
      <c r="L20" s="45">
        <v>-2.7779999999999999E-2</v>
      </c>
      <c r="M20" s="45">
        <f t="shared" si="3"/>
        <v>1.4514236580712769E-2</v>
      </c>
      <c r="N20" s="45">
        <f t="shared" si="7"/>
        <v>14.514236580712769</v>
      </c>
      <c r="O20" s="45">
        <v>19.757000000000001</v>
      </c>
      <c r="P20" s="84">
        <f t="shared" si="8"/>
        <v>1097.6111111111111</v>
      </c>
      <c r="Q20" s="84">
        <f t="shared" si="9"/>
        <v>203.82750438460747</v>
      </c>
      <c r="R20" s="45">
        <v>-9.0697499999999991</v>
      </c>
      <c r="S20" s="45">
        <f t="shared" si="10"/>
        <v>-9.0697499999999997E-3</v>
      </c>
      <c r="T20" s="45">
        <f t="shared" si="11"/>
        <v>5.4805345536543312E-3</v>
      </c>
      <c r="U20" s="45">
        <f t="shared" si="12"/>
        <v>5.4805345536543308</v>
      </c>
      <c r="V20" s="45">
        <v>6.9470000000000001E-3</v>
      </c>
      <c r="W20" s="45">
        <f t="shared" si="13"/>
        <v>3.6296040866166889E-3</v>
      </c>
      <c r="X20" s="45">
        <f t="shared" si="14"/>
        <v>3.629604086616689</v>
      </c>
      <c r="Y20" s="45">
        <v>5.3849999999999998</v>
      </c>
    </row>
    <row r="21" spans="1:25" x14ac:dyDescent="0.35">
      <c r="A21">
        <v>14</v>
      </c>
      <c r="B21" t="s">
        <v>104</v>
      </c>
      <c r="C21" s="45">
        <v>10.125</v>
      </c>
      <c r="D21" s="45">
        <f t="shared" si="4"/>
        <v>0.46902654867256643</v>
      </c>
      <c r="E21" s="45">
        <f t="shared" si="0"/>
        <v>1.3282831858407083</v>
      </c>
      <c r="F21" s="45">
        <v>-9.6249000000000002</v>
      </c>
      <c r="G21" s="45">
        <f t="shared" si="5"/>
        <v>-9.6249000000000005E-3</v>
      </c>
      <c r="H21" s="45">
        <f t="shared" si="1"/>
        <v>36.636662355866548</v>
      </c>
      <c r="I21" s="45">
        <v>-3.5557142857142843E-2</v>
      </c>
      <c r="J21" s="45">
        <f t="shared" si="2"/>
        <v>1.973710200316554E-2</v>
      </c>
      <c r="K21" s="45">
        <f t="shared" si="6"/>
        <v>19.737102003165539</v>
      </c>
      <c r="L21" s="45">
        <v>-2.9954999999999999E-2</v>
      </c>
      <c r="M21" s="45">
        <f t="shared" si="3"/>
        <v>2.3807496321325412E-2</v>
      </c>
      <c r="N21" s="45">
        <f t="shared" si="7"/>
        <v>23.807496321325413</v>
      </c>
      <c r="O21" s="45">
        <v>9.7968000000000011</v>
      </c>
      <c r="P21" s="84">
        <f t="shared" si="8"/>
        <v>544.26666666666665</v>
      </c>
      <c r="Q21" s="84">
        <f t="shared" si="9"/>
        <v>153.74764595103576</v>
      </c>
      <c r="R21" s="45">
        <v>-5.6797499999999985</v>
      </c>
      <c r="S21" s="45">
        <f t="shared" si="10"/>
        <v>-5.6797499999999982E-3</v>
      </c>
      <c r="T21" s="45">
        <f t="shared" si="11"/>
        <v>5.2208266074791482E-3</v>
      </c>
      <c r="U21" s="45">
        <f t="shared" si="12"/>
        <v>5.2208266074791485</v>
      </c>
      <c r="V21" s="45">
        <v>2.65E-3</v>
      </c>
      <c r="W21" s="45">
        <f t="shared" si="13"/>
        <v>2.1061547404944867E-3</v>
      </c>
      <c r="X21" s="45">
        <f t="shared" si="14"/>
        <v>2.1061547404944867</v>
      </c>
      <c r="Y21" s="45">
        <v>3.54</v>
      </c>
    </row>
    <row r="22" spans="1:25" x14ac:dyDescent="0.35">
      <c r="A22">
        <v>15</v>
      </c>
      <c r="B22" t="s">
        <v>104</v>
      </c>
      <c r="C22" s="45">
        <v>9.4486500000000007</v>
      </c>
      <c r="D22" s="45">
        <f t="shared" si="4"/>
        <v>0.50449557522123889</v>
      </c>
      <c r="E22" s="45">
        <f t="shared" si="0"/>
        <v>2.1067735221238939</v>
      </c>
      <c r="F22" s="45">
        <v>-13.1775</v>
      </c>
      <c r="G22" s="45">
        <f t="shared" si="5"/>
        <v>-1.31775E-2</v>
      </c>
      <c r="H22" s="45">
        <f t="shared" si="1"/>
        <v>34.016173654792958</v>
      </c>
      <c r="I22" s="45">
        <v>4.2728571428571616E-3</v>
      </c>
      <c r="J22" s="45">
        <f t="shared" si="2"/>
        <v>-1.6084503555398404E-3</v>
      </c>
      <c r="K22" s="45">
        <f t="shared" si="6"/>
        <v>-1.6084503555398404</v>
      </c>
      <c r="L22" s="45">
        <v>-0.136325</v>
      </c>
      <c r="M22" s="45">
        <f t="shared" si="3"/>
        <v>7.3477211688903685E-2</v>
      </c>
      <c r="N22" s="45">
        <f t="shared" si="7"/>
        <v>73.477211688903679</v>
      </c>
      <c r="O22" s="45">
        <v>19.232999999999997</v>
      </c>
      <c r="P22" s="84">
        <f t="shared" si="8"/>
        <v>1068.4999999999998</v>
      </c>
      <c r="Q22" s="84">
        <f t="shared" si="9"/>
        <v>204.69348659003828</v>
      </c>
      <c r="R22" s="45">
        <v>-7.5127500000000005</v>
      </c>
      <c r="S22" s="45">
        <f t="shared" si="10"/>
        <v>-7.5127500000000003E-3</v>
      </c>
      <c r="T22" s="45">
        <f t="shared" si="11"/>
        <v>4.6831896551724145E-3</v>
      </c>
      <c r="U22" s="45">
        <f t="shared" si="12"/>
        <v>4.6831896551724146</v>
      </c>
      <c r="V22" s="45">
        <v>3.6090000000000002E-3</v>
      </c>
      <c r="W22" s="45">
        <f t="shared" si="13"/>
        <v>1.9451990242820715E-3</v>
      </c>
      <c r="X22" s="45">
        <f t="shared" si="14"/>
        <v>1.9451990242820714</v>
      </c>
      <c r="Y22" s="45">
        <v>5.22</v>
      </c>
    </row>
    <row r="23" spans="1:25" x14ac:dyDescent="0.35">
      <c r="A23">
        <v>16</v>
      </c>
      <c r="B23" t="s">
        <v>104</v>
      </c>
      <c r="C23" s="45">
        <v>8.2417499999999997</v>
      </c>
      <c r="D23" s="45">
        <f t="shared" si="4"/>
        <v>0.56778761061946903</v>
      </c>
      <c r="E23" s="45">
        <f t="shared" si="0"/>
        <v>3.1410010619469029</v>
      </c>
      <c r="F23" s="45">
        <v>-4.8658000000000001</v>
      </c>
      <c r="G23" s="45">
        <f t="shared" si="5"/>
        <v>-4.8658E-3</v>
      </c>
      <c r="H23" s="45">
        <f t="shared" si="1"/>
        <v>9.4816737469143071</v>
      </c>
      <c r="I23" s="45">
        <v>-2.045714285714284E-2</v>
      </c>
      <c r="J23" s="45">
        <f t="shared" si="2"/>
        <v>5.8131641227246291E-3</v>
      </c>
      <c r="K23" s="45">
        <f t="shared" si="6"/>
        <v>5.8131641227246291</v>
      </c>
      <c r="L23" s="45">
        <v>-3.6860000000000004E-2</v>
      </c>
      <c r="M23" s="45">
        <f t="shared" si="3"/>
        <v>1.4997221660354375E-2</v>
      </c>
      <c r="N23" s="45">
        <f t="shared" si="7"/>
        <v>14.997221660354375</v>
      </c>
      <c r="O23" s="45">
        <v>16.069000000000003</v>
      </c>
      <c r="P23" s="84">
        <f t="shared" si="8"/>
        <v>892.7222222222224</v>
      </c>
      <c r="Q23" s="84">
        <f t="shared" si="9"/>
        <v>129.0993813770387</v>
      </c>
      <c r="R23" s="45">
        <v>-7.9402499999999989</v>
      </c>
      <c r="S23" s="45">
        <f t="shared" si="10"/>
        <v>-7.9402499999999994E-3</v>
      </c>
      <c r="T23" s="45">
        <f t="shared" si="11"/>
        <v>3.7364166924904458E-3</v>
      </c>
      <c r="U23" s="45">
        <f t="shared" si="12"/>
        <v>3.7364166924904461</v>
      </c>
      <c r="V23" s="45">
        <v>5.3680000000000004E-3</v>
      </c>
      <c r="W23" s="45">
        <f t="shared" si="13"/>
        <v>2.1840772076175334E-3</v>
      </c>
      <c r="X23" s="45">
        <f t="shared" si="14"/>
        <v>2.1840772076175332</v>
      </c>
      <c r="Y23" s="45">
        <v>6.9149999999999991</v>
      </c>
    </row>
    <row r="24" spans="1:25" x14ac:dyDescent="0.35">
      <c r="A24">
        <v>17</v>
      </c>
      <c r="B24" t="s">
        <v>104</v>
      </c>
      <c r="C24" s="45">
        <v>9.3702500000000004</v>
      </c>
      <c r="D24" s="45">
        <f t="shared" si="4"/>
        <v>0.50860701409373976</v>
      </c>
      <c r="E24" s="45">
        <f t="shared" si="0"/>
        <v>2.5389662143559488</v>
      </c>
      <c r="F24" s="45">
        <v>-13.172000000000001</v>
      </c>
      <c r="G24" s="45">
        <f t="shared" si="5"/>
        <v>-1.3172000000000001E-2</v>
      </c>
      <c r="H24" s="45">
        <f t="shared" si="1"/>
        <v>28.443960732995613</v>
      </c>
      <c r="I24" s="45">
        <v>-0.10085714285714284</v>
      </c>
      <c r="J24" s="45">
        <f t="shared" si="2"/>
        <v>3.1760100088074367E-2</v>
      </c>
      <c r="K24" s="45">
        <f t="shared" si="6"/>
        <v>31.760100088074367</v>
      </c>
      <c r="L24" s="45">
        <v>-2.7584999999999998E-2</v>
      </c>
      <c r="M24" s="45">
        <f t="shared" si="3"/>
        <v>1.2437585023497401E-2</v>
      </c>
      <c r="N24" s="45">
        <f t="shared" si="7"/>
        <v>12.437585023497402</v>
      </c>
      <c r="O24" s="45">
        <v>17.747999999999998</v>
      </c>
      <c r="P24" s="84">
        <f t="shared" si="8"/>
        <v>985.99999999999977</v>
      </c>
      <c r="Q24" s="84">
        <f t="shared" si="9"/>
        <v>158.0128205128205</v>
      </c>
      <c r="R24" s="45">
        <v>-11.06325</v>
      </c>
      <c r="S24" s="45">
        <f t="shared" si="10"/>
        <v>-1.106325E-2</v>
      </c>
      <c r="T24" s="45">
        <f t="shared" si="11"/>
        <v>5.7691449175824184E-3</v>
      </c>
      <c r="U24" s="45">
        <f t="shared" si="12"/>
        <v>5.7691449175824188</v>
      </c>
      <c r="V24" s="45">
        <v>6.5300000000000002E-3</v>
      </c>
      <c r="W24" s="45">
        <f t="shared" si="13"/>
        <v>2.9442606562783409E-3</v>
      </c>
      <c r="X24" s="45">
        <f t="shared" si="14"/>
        <v>2.9442606562783409</v>
      </c>
      <c r="Y24" s="45">
        <v>6.2399999999999993</v>
      </c>
    </row>
    <row r="25" spans="1:25" x14ac:dyDescent="0.35">
      <c r="A25">
        <v>18</v>
      </c>
      <c r="B25" t="s">
        <v>104</v>
      </c>
      <c r="C25" s="45">
        <v>8.3994</v>
      </c>
      <c r="D25" s="45">
        <f t="shared" si="4"/>
        <v>0.55952015732546712</v>
      </c>
      <c r="E25" s="45">
        <f t="shared" si="0"/>
        <v>2.2559852743362834</v>
      </c>
      <c r="F25" s="45">
        <v>-15.237500000000001</v>
      </c>
      <c r="G25" s="45">
        <f t="shared" si="5"/>
        <v>-1.5237500000000001E-2</v>
      </c>
      <c r="H25" s="45">
        <f t="shared" si="1"/>
        <v>40.738601880592796</v>
      </c>
      <c r="I25" s="45">
        <v>-3.3957142857142839E-2</v>
      </c>
      <c r="J25" s="45">
        <f t="shared" si="2"/>
        <v>1.3239158948085597E-2</v>
      </c>
      <c r="K25" s="45">
        <f t="shared" si="6"/>
        <v>13.239158948085597</v>
      </c>
      <c r="L25" s="45">
        <v>-3.8115000000000003E-2</v>
      </c>
      <c r="M25" s="45">
        <f t="shared" si="3"/>
        <v>2.127713022508039E-2</v>
      </c>
      <c r="N25" s="45">
        <f t="shared" si="7"/>
        <v>21.277130225080391</v>
      </c>
      <c r="O25" s="45">
        <v>15.384</v>
      </c>
      <c r="P25" s="84">
        <f t="shared" si="8"/>
        <v>854.66666666666674</v>
      </c>
      <c r="Q25" s="84">
        <f t="shared" si="9"/>
        <v>169.5767195767196</v>
      </c>
      <c r="R25" s="45">
        <v>-8.6742500000000007</v>
      </c>
      <c r="S25" s="45">
        <f t="shared" si="10"/>
        <v>-8.6742500000000014E-3</v>
      </c>
      <c r="T25" s="45">
        <f t="shared" si="11"/>
        <v>5.600344072814312E-3</v>
      </c>
      <c r="U25" s="45">
        <f t="shared" si="12"/>
        <v>5.6003440728143117</v>
      </c>
      <c r="V25" s="45">
        <v>1.6240000000000001E-2</v>
      </c>
      <c r="W25" s="45">
        <f t="shared" si="13"/>
        <v>9.0657377634869602E-3</v>
      </c>
      <c r="X25" s="45">
        <f t="shared" si="14"/>
        <v>9.0657377634869594</v>
      </c>
      <c r="Y25" s="45">
        <v>5.04</v>
      </c>
    </row>
    <row r="26" spans="1:25" x14ac:dyDescent="0.35">
      <c r="A26">
        <v>19</v>
      </c>
      <c r="B26" t="s">
        <v>104</v>
      </c>
      <c r="C26" s="45">
        <v>7.5098000000000003</v>
      </c>
      <c r="D26" s="45">
        <f t="shared" si="4"/>
        <v>0.60617240249098658</v>
      </c>
      <c r="E26" s="45">
        <f t="shared" si="0"/>
        <v>3.6588566214355951</v>
      </c>
      <c r="F26" s="45">
        <v>-15.652999999999999</v>
      </c>
      <c r="G26" s="45">
        <f t="shared" si="5"/>
        <v>-1.5653E-2</v>
      </c>
      <c r="H26" s="45">
        <f t="shared" si="1"/>
        <v>27.955114744133041</v>
      </c>
      <c r="I26" s="45">
        <v>-1.7157142857142843E-2</v>
      </c>
      <c r="J26" s="45">
        <f t="shared" si="2"/>
        <v>4.4683328261601353E-3</v>
      </c>
      <c r="K26" s="45">
        <f t="shared" si="6"/>
        <v>4.4683328261601352</v>
      </c>
      <c r="L26" s="45">
        <v>-3.7680000000000005E-2</v>
      </c>
      <c r="M26" s="45">
        <f t="shared" si="3"/>
        <v>1.4050743768897866E-2</v>
      </c>
      <c r="N26" s="45">
        <f t="shared" si="7"/>
        <v>14.050743768897867</v>
      </c>
      <c r="O26" s="45">
        <v>21.773</v>
      </c>
      <c r="P26" s="84">
        <f t="shared" si="8"/>
        <v>1209.6111111111111</v>
      </c>
      <c r="Q26" s="84">
        <f t="shared" si="9"/>
        <v>160.31956409690008</v>
      </c>
      <c r="R26" s="45">
        <v>-8.9787500000000016</v>
      </c>
      <c r="S26" s="45">
        <f t="shared" si="10"/>
        <v>-8.9787500000000024E-3</v>
      </c>
      <c r="T26" s="45">
        <f t="shared" si="11"/>
        <v>3.8723084771792537E-3</v>
      </c>
      <c r="U26" s="45">
        <f t="shared" si="12"/>
        <v>3.8723084771792537</v>
      </c>
      <c r="V26" s="45">
        <v>2.8010000000000001E-3</v>
      </c>
      <c r="W26" s="45">
        <f t="shared" si="13"/>
        <v>1.0444833677463621E-3</v>
      </c>
      <c r="X26" s="45">
        <f t="shared" si="14"/>
        <v>1.0444833677463621</v>
      </c>
      <c r="Y26" s="45">
        <v>7.5449999999999999</v>
      </c>
    </row>
    <row r="27" spans="1:25" x14ac:dyDescent="0.35">
      <c r="A27">
        <v>20</v>
      </c>
      <c r="B27" t="s">
        <v>104</v>
      </c>
      <c r="C27" s="45">
        <v>9.4717000000000002</v>
      </c>
      <c r="D27" s="45">
        <f t="shared" si="4"/>
        <v>0.50328679121599473</v>
      </c>
      <c r="E27" s="45">
        <f t="shared" si="0"/>
        <v>2.2225144700098323</v>
      </c>
      <c r="F27" s="45">
        <v>-14.313500000000001</v>
      </c>
      <c r="G27" s="45">
        <f t="shared" si="5"/>
        <v>-1.4313500000000002E-2</v>
      </c>
      <c r="H27" s="45">
        <f t="shared" si="1"/>
        <v>34.940547243642797</v>
      </c>
      <c r="I27" s="45">
        <v>-4.0857142857142842E-2</v>
      </c>
      <c r="J27" s="45">
        <f t="shared" si="2"/>
        <v>1.4544162104626243E-2</v>
      </c>
      <c r="K27" s="45">
        <f t="shared" si="6"/>
        <v>14.544162104626242</v>
      </c>
      <c r="L27" s="45">
        <v>-3.3960000000000004E-2</v>
      </c>
      <c r="M27" s="45">
        <f t="shared" si="3"/>
        <v>1.7309170977212362E-2</v>
      </c>
      <c r="N27" s="45">
        <f t="shared" si="7"/>
        <v>17.309170977212361</v>
      </c>
      <c r="O27" s="45">
        <v>13.695499999999999</v>
      </c>
      <c r="P27" s="84">
        <f t="shared" si="8"/>
        <v>760.86111111111109</v>
      </c>
      <c r="Q27" s="84">
        <f t="shared" si="9"/>
        <v>137.83715780998389</v>
      </c>
      <c r="R27" s="45">
        <v>-10.240250000000003</v>
      </c>
      <c r="S27" s="45">
        <f t="shared" si="10"/>
        <v>-1.0240250000000003E-2</v>
      </c>
      <c r="T27" s="45">
        <f t="shared" si="11"/>
        <v>6.0364942776627573E-3</v>
      </c>
      <c r="U27" s="45">
        <f t="shared" si="12"/>
        <v>6.036494277662757</v>
      </c>
      <c r="V27" s="45">
        <v>1.444E-2</v>
      </c>
      <c r="W27" s="45">
        <f t="shared" si="13"/>
        <v>7.3599655156344661E-3</v>
      </c>
      <c r="X27" s="45">
        <f t="shared" si="14"/>
        <v>7.3599655156344665</v>
      </c>
      <c r="Y27" s="45">
        <v>5.52</v>
      </c>
    </row>
    <row r="28" spans="1:25" x14ac:dyDescent="0.35">
      <c r="A28">
        <v>21</v>
      </c>
      <c r="B28" t="s">
        <v>104</v>
      </c>
      <c r="C28" s="45">
        <v>7.5165000000000006</v>
      </c>
      <c r="D28" s="45">
        <f t="shared" si="4"/>
        <v>0.60582104228121925</v>
      </c>
      <c r="E28" s="45">
        <f t="shared" si="0"/>
        <v>3.3659417109144543</v>
      </c>
      <c r="F28" s="45">
        <v>-16.133500000000002</v>
      </c>
      <c r="G28" s="45">
        <f t="shared" si="5"/>
        <v>-1.6133500000000002E-2</v>
      </c>
      <c r="H28" s="45">
        <f t="shared" si="1"/>
        <v>31.302518537273979</v>
      </c>
      <c r="I28" s="45">
        <v>-1.1471428571428327E-3</v>
      </c>
      <c r="J28" s="45">
        <f t="shared" si="2"/>
        <v>3.2456751186133175E-4</v>
      </c>
      <c r="K28" s="45">
        <f t="shared" si="6"/>
        <v>0.32456751186133176</v>
      </c>
      <c r="L28" s="45">
        <v>-3.2704999999999998E-2</v>
      </c>
      <c r="M28" s="45">
        <f t="shared" si="3"/>
        <v>1.3249197298942772E-2</v>
      </c>
      <c r="N28" s="45">
        <f t="shared" si="7"/>
        <v>13.249197298942772</v>
      </c>
      <c r="O28" s="45">
        <v>20.810500000000001</v>
      </c>
      <c r="P28" s="84">
        <f t="shared" si="8"/>
        <v>1156.1388888888889</v>
      </c>
      <c r="Q28" s="84">
        <f t="shared" si="9"/>
        <v>166.4706823454124</v>
      </c>
      <c r="R28" s="45">
        <v>-9.414749999999998</v>
      </c>
      <c r="S28" s="45">
        <f t="shared" si="10"/>
        <v>-9.4147499999999978E-3</v>
      </c>
      <c r="T28" s="45">
        <f t="shared" si="11"/>
        <v>4.4111299667455167E-3</v>
      </c>
      <c r="U28" s="45">
        <f t="shared" si="12"/>
        <v>4.4111299667455164</v>
      </c>
      <c r="V28" s="45">
        <v>2.725E-3</v>
      </c>
      <c r="W28" s="45">
        <f t="shared" si="13"/>
        <v>1.1039309781262518E-3</v>
      </c>
      <c r="X28" s="45">
        <f t="shared" si="14"/>
        <v>1.1039309781262518</v>
      </c>
      <c r="Y28" s="45">
        <v>6.9449999999999994</v>
      </c>
    </row>
    <row r="29" spans="1:25" x14ac:dyDescent="0.35">
      <c r="A29">
        <v>22</v>
      </c>
      <c r="B29" t="s">
        <v>104</v>
      </c>
      <c r="C29" s="45">
        <v>9.6321000000000012</v>
      </c>
      <c r="D29" s="45">
        <f t="shared" si="4"/>
        <v>0.4948751229105211</v>
      </c>
      <c r="E29" s="45">
        <f t="shared" si="0"/>
        <v>1.5737028908554571</v>
      </c>
      <c r="F29" s="45">
        <v>-15.064</v>
      </c>
      <c r="G29" s="45">
        <f t="shared" si="5"/>
        <v>-1.5063999999999999E-2</v>
      </c>
      <c r="H29" s="45">
        <f t="shared" si="1"/>
        <v>51.065326388293016</v>
      </c>
      <c r="I29" s="45">
        <v>1.9952857142857161E-2</v>
      </c>
      <c r="J29" s="45">
        <f t="shared" si="2"/>
        <v>-9.8634251033692978E-3</v>
      </c>
      <c r="K29" s="45">
        <f t="shared" si="6"/>
        <v>-9.8634251033692983</v>
      </c>
      <c r="L29" s="45">
        <v>-2.7295E-2</v>
      </c>
      <c r="M29" s="45">
        <f t="shared" si="3"/>
        <v>1.9319399785637729E-2</v>
      </c>
      <c r="N29" s="45">
        <f t="shared" si="7"/>
        <v>19.319399785637728</v>
      </c>
      <c r="O29" s="45">
        <v>14.7585</v>
      </c>
      <c r="P29" s="84">
        <f t="shared" si="8"/>
        <v>819.91666666666663</v>
      </c>
      <c r="Q29" s="84">
        <f t="shared" si="9"/>
        <v>206.26834381551362</v>
      </c>
      <c r="R29" s="45">
        <v>-7.0462500000000006</v>
      </c>
      <c r="S29" s="45">
        <f t="shared" si="10"/>
        <v>-7.0462500000000004E-3</v>
      </c>
      <c r="T29" s="45">
        <f t="shared" si="11"/>
        <v>5.768119197364481E-3</v>
      </c>
      <c r="U29" s="45">
        <f t="shared" si="12"/>
        <v>5.7681191973644808</v>
      </c>
      <c r="V29" s="45">
        <v>2.6284999999999998E-3</v>
      </c>
      <c r="W29" s="45">
        <f t="shared" si="13"/>
        <v>1.860452183057291E-3</v>
      </c>
      <c r="X29" s="45">
        <f t="shared" si="14"/>
        <v>1.8604521830572909</v>
      </c>
      <c r="Y29" s="45">
        <v>3.9750000000000001</v>
      </c>
    </row>
    <row r="30" spans="1:25" x14ac:dyDescent="0.35">
      <c r="A30">
        <v>23</v>
      </c>
      <c r="B30" t="s">
        <v>104</v>
      </c>
      <c r="C30" s="45">
        <v>7.3338999999999999</v>
      </c>
      <c r="D30" s="45">
        <f t="shared" si="4"/>
        <v>0.61539691904293681</v>
      </c>
      <c r="E30" s="45">
        <f t="shared" si="0"/>
        <v>3.35268241494592</v>
      </c>
      <c r="F30" s="45">
        <v>-14.617000000000001</v>
      </c>
      <c r="G30" s="45">
        <f t="shared" si="5"/>
        <v>-1.4617000000000002E-2</v>
      </c>
      <c r="H30" s="45">
        <f t="shared" si="1"/>
        <v>28.922383014802769</v>
      </c>
      <c r="I30" s="45">
        <v>-3.9657142857142835E-2</v>
      </c>
      <c r="J30" s="45">
        <f t="shared" si="2"/>
        <v>1.1442847257400277E-2</v>
      </c>
      <c r="K30" s="45">
        <f t="shared" si="6"/>
        <v>11.442847257400278</v>
      </c>
      <c r="L30" s="45">
        <v>-3.7559999999999996E-2</v>
      </c>
      <c r="M30" s="45">
        <f t="shared" si="3"/>
        <v>1.5517656557644092E-2</v>
      </c>
      <c r="N30" s="45">
        <f t="shared" si="7"/>
        <v>15.517656557644091</v>
      </c>
      <c r="O30" s="45">
        <v>18.540500000000002</v>
      </c>
      <c r="P30" s="84">
        <f t="shared" si="8"/>
        <v>1030.0277777777778</v>
      </c>
      <c r="Q30" s="84">
        <f t="shared" si="9"/>
        <v>151.25224343286018</v>
      </c>
      <c r="R30" s="45">
        <v>-5.8012500000000031</v>
      </c>
      <c r="S30" s="45">
        <f t="shared" si="10"/>
        <v>-5.8012500000000035E-3</v>
      </c>
      <c r="T30" s="45">
        <f t="shared" si="11"/>
        <v>2.7719652471855133E-3</v>
      </c>
      <c r="U30" s="45">
        <f t="shared" si="12"/>
        <v>2.7719652471855132</v>
      </c>
      <c r="V30" s="45">
        <v>8.6049999999999998E-3</v>
      </c>
      <c r="W30" s="45">
        <f t="shared" si="13"/>
        <v>3.5550967699288453E-3</v>
      </c>
      <c r="X30" s="45">
        <f t="shared" si="14"/>
        <v>3.5550967699288454</v>
      </c>
      <c r="Y30" s="45">
        <v>6.81</v>
      </c>
    </row>
    <row r="31" spans="1:25" x14ac:dyDescent="0.35">
      <c r="A31">
        <v>24</v>
      </c>
      <c r="B31" t="s">
        <v>104</v>
      </c>
      <c r="C31" s="45">
        <v>9.4273500000000006</v>
      </c>
      <c r="D31" s="45">
        <f t="shared" si="4"/>
        <v>0.50561258603736481</v>
      </c>
      <c r="E31" s="45">
        <f t="shared" si="0"/>
        <v>2.9851367079646018</v>
      </c>
      <c r="F31" s="45">
        <v>-15.3645</v>
      </c>
      <c r="G31" s="45">
        <f t="shared" si="5"/>
        <v>-1.53645E-2</v>
      </c>
      <c r="H31" s="45">
        <f t="shared" si="1"/>
        <v>28.053367951567338</v>
      </c>
      <c r="I31" s="45">
        <v>-1.5157142857142841E-2</v>
      </c>
      <c r="J31" s="45">
        <f t="shared" si="2"/>
        <v>4.0357176398794006E-3</v>
      </c>
      <c r="K31" s="45">
        <f t="shared" si="6"/>
        <v>4.035717639879401</v>
      </c>
      <c r="L31" s="45">
        <v>-3.5409999999999997E-2</v>
      </c>
      <c r="M31" s="45">
        <f t="shared" si="3"/>
        <v>1.3499485879103166E-2</v>
      </c>
      <c r="N31" s="45">
        <f t="shared" si="7"/>
        <v>13.499485879103165</v>
      </c>
      <c r="O31" s="45">
        <v>27.2605</v>
      </c>
      <c r="P31" s="84">
        <f t="shared" si="8"/>
        <v>1514.4722222222224</v>
      </c>
      <c r="Q31" s="84">
        <f t="shared" si="9"/>
        <v>205.21303824149356</v>
      </c>
      <c r="R31" s="45">
        <v>-13.52975</v>
      </c>
      <c r="S31" s="45">
        <f t="shared" si="10"/>
        <v>-1.352975E-2</v>
      </c>
      <c r="T31" s="45">
        <f t="shared" si="11"/>
        <v>5.9654982363315703E-3</v>
      </c>
      <c r="U31" s="45">
        <f t="shared" si="12"/>
        <v>5.9654982363315705</v>
      </c>
      <c r="V31" s="45">
        <v>1.8405000000000001E-2</v>
      </c>
      <c r="W31" s="45">
        <f t="shared" si="13"/>
        <v>7.0166065406634783E-3</v>
      </c>
      <c r="X31" s="45">
        <f t="shared" si="14"/>
        <v>7.0166065406634779</v>
      </c>
      <c r="Y31" s="45">
        <v>7.38</v>
      </c>
    </row>
    <row r="32" spans="1:25" x14ac:dyDescent="0.35">
      <c r="A32">
        <v>25</v>
      </c>
      <c r="B32" t="s">
        <v>104</v>
      </c>
      <c r="C32" s="45">
        <v>7.6133000000000006</v>
      </c>
      <c r="D32" s="45">
        <f t="shared" si="4"/>
        <v>0.60074467387741726</v>
      </c>
      <c r="E32" s="45">
        <f t="shared" si="0"/>
        <v>3.1430961337266474</v>
      </c>
      <c r="F32" s="45">
        <v>-8.5684500000000003</v>
      </c>
      <c r="G32" s="45">
        <f t="shared" si="5"/>
        <v>-8.56845E-3</v>
      </c>
      <c r="H32" s="45">
        <f t="shared" si="1"/>
        <v>17.654176189438648</v>
      </c>
      <c r="I32" s="45">
        <v>4.1728571428571587E-3</v>
      </c>
      <c r="J32" s="45">
        <f t="shared" si="2"/>
        <v>-1.2537633190159861E-3</v>
      </c>
      <c r="K32" s="45">
        <f t="shared" si="6"/>
        <v>-1.253763319015986</v>
      </c>
      <c r="L32" s="45">
        <v>-3.193E-2</v>
      </c>
      <c r="M32" s="45">
        <f t="shared" si="3"/>
        <v>1.3736270489788293E-2</v>
      </c>
      <c r="N32" s="45">
        <f t="shared" si="7"/>
        <v>13.736270489788293</v>
      </c>
      <c r="O32" s="45">
        <v>12.7295</v>
      </c>
      <c r="P32" s="84">
        <f t="shared" si="8"/>
        <v>707.19444444444446</v>
      </c>
      <c r="Q32" s="84">
        <f t="shared" si="9"/>
        <v>108.13370710159701</v>
      </c>
      <c r="R32" s="45">
        <v>-3.9067500000000006</v>
      </c>
      <c r="S32" s="45">
        <f t="shared" si="10"/>
        <v>-3.9067500000000005E-3</v>
      </c>
      <c r="T32" s="45">
        <f t="shared" si="11"/>
        <v>1.9437982379496145E-3</v>
      </c>
      <c r="U32" s="45">
        <f t="shared" si="12"/>
        <v>1.9437982379496146</v>
      </c>
      <c r="V32" s="45">
        <v>1.6799999999999999E-2</v>
      </c>
      <c r="W32" s="45">
        <f t="shared" si="13"/>
        <v>7.2273518392872941E-3</v>
      </c>
      <c r="X32" s="45">
        <f t="shared" si="14"/>
        <v>7.2273518392872944</v>
      </c>
      <c r="Y32" s="45">
        <v>6.54</v>
      </c>
    </row>
    <row r="33" spans="1:25" x14ac:dyDescent="0.35">
      <c r="A33">
        <v>26</v>
      </c>
      <c r="B33" t="s">
        <v>104</v>
      </c>
      <c r="C33" s="45">
        <v>7.8221500000000006</v>
      </c>
      <c r="D33" s="45">
        <f t="shared" si="4"/>
        <v>0.5897921992789249</v>
      </c>
      <c r="E33" s="45">
        <f t="shared" si="0"/>
        <v>3.3193504975417896</v>
      </c>
      <c r="F33" s="45">
        <v>-6.89175</v>
      </c>
      <c r="G33" s="45">
        <f t="shared" si="5"/>
        <v>-6.8917500000000003E-3</v>
      </c>
      <c r="H33" s="45">
        <f t="shared" si="1"/>
        <v>13.200438290752261</v>
      </c>
      <c r="I33" s="45">
        <v>-2.8857142857142831E-2</v>
      </c>
      <c r="J33" s="45">
        <f t="shared" si="2"/>
        <v>8.0602593988809371E-3</v>
      </c>
      <c r="K33" s="45">
        <f t="shared" si="6"/>
        <v>8.0602593988809375</v>
      </c>
      <c r="L33" s="45">
        <v>-2.7465E-2</v>
      </c>
      <c r="M33" s="45">
        <f t="shared" si="3"/>
        <v>1.0984066804242455E-2</v>
      </c>
      <c r="N33" s="45">
        <f t="shared" si="7"/>
        <v>10.984066804242454</v>
      </c>
      <c r="O33" s="45">
        <v>12.4803</v>
      </c>
      <c r="P33" s="84">
        <f t="shared" si="8"/>
        <v>693.35</v>
      </c>
      <c r="Q33" s="84">
        <f t="shared" si="9"/>
        <v>98.557213930348269</v>
      </c>
      <c r="R33" s="45">
        <v>-5.7277500000000003</v>
      </c>
      <c r="S33" s="45">
        <f t="shared" si="10"/>
        <v>-5.7277500000000002E-3</v>
      </c>
      <c r="T33" s="45">
        <f t="shared" si="11"/>
        <v>2.6493129590144521E-3</v>
      </c>
      <c r="U33" s="45">
        <f t="shared" si="12"/>
        <v>2.649312959014452</v>
      </c>
      <c r="V33" s="45">
        <v>2.9774999999999999E-2</v>
      </c>
      <c r="W33" s="45">
        <f t="shared" si="13"/>
        <v>1.1907904208859243E-2</v>
      </c>
      <c r="X33" s="45">
        <f t="shared" si="14"/>
        <v>11.907904208859243</v>
      </c>
      <c r="Y33" s="45">
        <v>7.0349999999999993</v>
      </c>
    </row>
    <row r="34" spans="1:25" x14ac:dyDescent="0.35">
      <c r="A34">
        <v>27</v>
      </c>
      <c r="B34" t="s">
        <v>104</v>
      </c>
      <c r="C34" s="45">
        <v>6.6543000000000001</v>
      </c>
      <c r="D34" s="45">
        <f t="shared" si="4"/>
        <v>0.65103638151425769</v>
      </c>
      <c r="E34" s="45">
        <f t="shared" si="0"/>
        <v>3.015600519174042</v>
      </c>
      <c r="F34" s="45">
        <v>-15.336</v>
      </c>
      <c r="G34" s="45">
        <f t="shared" si="5"/>
        <v>-1.5336000000000001E-2</v>
      </c>
      <c r="H34" s="45">
        <f t="shared" si="1"/>
        <v>35.690815741451047</v>
      </c>
      <c r="I34" s="45">
        <v>2.3092857142857165E-2</v>
      </c>
      <c r="J34" s="45">
        <f t="shared" si="2"/>
        <v>-7.8371633025682372E-3</v>
      </c>
      <c r="K34" s="45">
        <f t="shared" si="6"/>
        <v>-7.8371633025682375</v>
      </c>
      <c r="L34" s="45">
        <v>-2.7360000000000002E-2</v>
      </c>
      <c r="M34" s="45">
        <f t="shared" si="3"/>
        <v>1.3294903620278894E-2</v>
      </c>
      <c r="N34" s="45">
        <f t="shared" si="7"/>
        <v>13.294903620278895</v>
      </c>
      <c r="O34" s="45">
        <v>14.733000000000001</v>
      </c>
      <c r="P34" s="84">
        <f t="shared" si="8"/>
        <v>818.5</v>
      </c>
      <c r="Q34" s="84">
        <f t="shared" si="9"/>
        <v>141.36442141623488</v>
      </c>
      <c r="R34" s="45">
        <v>-19.720750000000002</v>
      </c>
      <c r="S34" s="45">
        <f t="shared" si="10"/>
        <v>-1.9720750000000002E-2</v>
      </c>
      <c r="T34" s="45">
        <f t="shared" si="11"/>
        <v>1.1083021492995587E-2</v>
      </c>
      <c r="U34" s="45">
        <f t="shared" si="12"/>
        <v>11.083021492995588</v>
      </c>
      <c r="V34" s="45">
        <v>9.5904999999999992E-4</v>
      </c>
      <c r="W34" s="45">
        <f t="shared" si="13"/>
        <v>4.6602621772764882E-4</v>
      </c>
      <c r="X34" s="45">
        <f t="shared" si="14"/>
        <v>0.46602621772764879</v>
      </c>
      <c r="Y34" s="45">
        <v>5.79</v>
      </c>
    </row>
    <row r="35" spans="1:25" x14ac:dyDescent="0.35">
      <c r="A35">
        <v>28</v>
      </c>
      <c r="B35" t="s">
        <v>104</v>
      </c>
      <c r="C35" s="45">
        <v>7.6839000000000004</v>
      </c>
      <c r="D35" s="45">
        <f t="shared" si="4"/>
        <v>0.59704228121927239</v>
      </c>
      <c r="E35" s="45">
        <f t="shared" si="0"/>
        <v>3.0449156342182899</v>
      </c>
      <c r="F35" s="45">
        <v>-12.439</v>
      </c>
      <c r="G35" s="45">
        <f t="shared" si="5"/>
        <v>-1.2439E-2</v>
      </c>
      <c r="H35" s="45">
        <f t="shared" si="1"/>
        <v>26.292278070062451</v>
      </c>
      <c r="I35" s="45">
        <v>-5.6057142857142833E-2</v>
      </c>
      <c r="J35" s="45">
        <f t="shared" si="2"/>
        <v>1.7278679960730264E-2</v>
      </c>
      <c r="K35" s="45">
        <f t="shared" si="6"/>
        <v>17.278679960730265</v>
      </c>
      <c r="L35" s="45">
        <v>-3.0304999999999999E-2</v>
      </c>
      <c r="M35" s="45">
        <f t="shared" si="3"/>
        <v>1.3374629594603112E-2</v>
      </c>
      <c r="N35" s="45">
        <f t="shared" si="7"/>
        <v>13.374629594603112</v>
      </c>
      <c r="O35" s="45">
        <v>9.2056500000000003</v>
      </c>
      <c r="P35" s="84">
        <f t="shared" si="8"/>
        <v>511.42500000000001</v>
      </c>
      <c r="Q35" s="84">
        <f t="shared" si="9"/>
        <v>80.223529411764702</v>
      </c>
      <c r="R35" s="45">
        <v>-3.6837500000000016</v>
      </c>
      <c r="S35" s="45">
        <f t="shared" si="10"/>
        <v>-3.6837500000000017E-3</v>
      </c>
      <c r="T35" s="45">
        <f t="shared" si="11"/>
        <v>1.8802832244008722E-3</v>
      </c>
      <c r="U35" s="45">
        <f t="shared" si="12"/>
        <v>1.8802832244008723</v>
      </c>
      <c r="V35" s="45">
        <v>1.308E-2</v>
      </c>
      <c r="W35" s="45">
        <f t="shared" si="13"/>
        <v>5.7726498959712498E-3</v>
      </c>
      <c r="X35" s="45">
        <f t="shared" si="14"/>
        <v>5.7726498959712496</v>
      </c>
      <c r="Y35" s="45">
        <v>6.3750000000000009</v>
      </c>
    </row>
    <row r="36" spans="1:25" x14ac:dyDescent="0.35">
      <c r="A36">
        <v>29</v>
      </c>
      <c r="B36" t="s">
        <v>104</v>
      </c>
      <c r="C36" s="45">
        <v>7.4567499999999995</v>
      </c>
      <c r="D36" s="45">
        <f t="shared" si="4"/>
        <v>0.60895444116683062</v>
      </c>
      <c r="E36" s="45">
        <f t="shared" si="0"/>
        <v>3.2883539823008854</v>
      </c>
      <c r="F36" s="45">
        <v>-9.0439499999999988</v>
      </c>
      <c r="G36" s="45">
        <f t="shared" si="5"/>
        <v>-9.0439499999999985E-3</v>
      </c>
      <c r="H36" s="45">
        <f t="shared" si="1"/>
        <v>18.054161286096605</v>
      </c>
      <c r="I36" s="45">
        <v>1.9428571428571628E-3</v>
      </c>
      <c r="J36" s="45">
        <f t="shared" si="2"/>
        <v>-5.6558370241829197E-4</v>
      </c>
      <c r="K36" s="45">
        <f t="shared" si="6"/>
        <v>-0.56558370241829192</v>
      </c>
      <c r="L36" s="45">
        <v>-3.7085E-2</v>
      </c>
      <c r="M36" s="45">
        <f t="shared" si="3"/>
        <v>1.5457603906156961E-2</v>
      </c>
      <c r="N36" s="45">
        <f t="shared" si="7"/>
        <v>15.45760390615696</v>
      </c>
      <c r="O36" s="45">
        <v>11.1266</v>
      </c>
      <c r="P36" s="84">
        <f t="shared" si="8"/>
        <v>618.1444444444445</v>
      </c>
      <c r="Q36" s="84">
        <f t="shared" si="9"/>
        <v>91.576954732510302</v>
      </c>
      <c r="R36" s="45">
        <v>-4.4857499999999995</v>
      </c>
      <c r="S36" s="45">
        <f t="shared" si="10"/>
        <v>-4.4857499999999993E-3</v>
      </c>
      <c r="T36" s="45">
        <f t="shared" si="11"/>
        <v>2.1624426807760138E-3</v>
      </c>
      <c r="U36" s="45">
        <f t="shared" si="12"/>
        <v>2.1624426807760138</v>
      </c>
      <c r="V36" s="45">
        <v>2.6210000000000001E-2</v>
      </c>
      <c r="W36" s="45">
        <f t="shared" si="13"/>
        <v>1.0924735024413481E-2</v>
      </c>
      <c r="X36" s="45">
        <f t="shared" si="14"/>
        <v>10.924735024413481</v>
      </c>
      <c r="Y36" s="45">
        <v>6.75</v>
      </c>
    </row>
    <row r="37" spans="1:25" x14ac:dyDescent="0.35">
      <c r="A37">
        <v>30</v>
      </c>
      <c r="B37" t="s">
        <v>104</v>
      </c>
      <c r="C37" s="45">
        <v>8.8612000000000002</v>
      </c>
      <c r="D37" s="45">
        <f t="shared" si="4"/>
        <v>0.53530252376270082</v>
      </c>
      <c r="E37" s="45">
        <f t="shared" si="0"/>
        <v>2.1583397758112093</v>
      </c>
      <c r="F37" s="45">
        <v>-6.2913499999999996</v>
      </c>
      <c r="G37" s="45">
        <f t="shared" si="5"/>
        <v>-6.2913499999999994E-3</v>
      </c>
      <c r="H37" s="45">
        <f t="shared" si="1"/>
        <v>16.820397239800982</v>
      </c>
      <c r="I37" s="45">
        <v>-1.0407142857142837E-2</v>
      </c>
      <c r="J37" s="45">
        <f t="shared" si="2"/>
        <v>4.0575209481196238E-3</v>
      </c>
      <c r="K37" s="45">
        <f t="shared" si="6"/>
        <v>4.0575209481196239</v>
      </c>
      <c r="L37" s="45">
        <v>-2.2960000000000001E-2</v>
      </c>
      <c r="M37" s="45">
        <f t="shared" si="3"/>
        <v>1.2817077527688464E-2</v>
      </c>
      <c r="N37" s="45">
        <f t="shared" si="7"/>
        <v>12.817077527688463</v>
      </c>
      <c r="O37" s="45">
        <v>11.071350000000001</v>
      </c>
      <c r="P37" s="84">
        <f t="shared" si="8"/>
        <v>615.07499999999993</v>
      </c>
      <c r="Q37" s="84">
        <f t="shared" si="9"/>
        <v>122.03869047619048</v>
      </c>
      <c r="R37" s="45">
        <v>-4.2877500000000008</v>
      </c>
      <c r="S37" s="45">
        <f t="shared" si="10"/>
        <v>-4.2877500000000008E-3</v>
      </c>
      <c r="T37" s="45">
        <f t="shared" si="11"/>
        <v>2.7682941232048388E-3</v>
      </c>
      <c r="U37" s="45">
        <f t="shared" si="12"/>
        <v>2.7682941232048388</v>
      </c>
      <c r="V37" s="45">
        <v>1.20695E-2</v>
      </c>
      <c r="W37" s="45">
        <f t="shared" si="13"/>
        <v>6.737618345837801E-3</v>
      </c>
      <c r="X37" s="45">
        <f t="shared" si="14"/>
        <v>6.7376183458378014</v>
      </c>
      <c r="Y37" s="45">
        <v>5.0399999999999991</v>
      </c>
    </row>
    <row r="38" spans="1:25" x14ac:dyDescent="0.35">
      <c r="A38">
        <v>31</v>
      </c>
      <c r="B38" t="s">
        <v>104</v>
      </c>
      <c r="C38" s="45">
        <v>10.949000000000002</v>
      </c>
      <c r="D38" s="45">
        <f t="shared" si="4"/>
        <v>0.42581448705342506</v>
      </c>
      <c r="E38" s="45">
        <f t="shared" si="0"/>
        <v>0.78179539823008859</v>
      </c>
      <c r="F38" s="45">
        <v>-3.9877000000000002</v>
      </c>
      <c r="G38" s="45">
        <f t="shared" si="5"/>
        <v>-3.9877000000000003E-3</v>
      </c>
      <c r="H38" s="45">
        <f t="shared" si="1"/>
        <v>23.413305209419306</v>
      </c>
      <c r="I38" s="45">
        <v>-2.1857142857142839E-2</v>
      </c>
      <c r="J38" s="45">
        <f t="shared" si="2"/>
        <v>1.871416662413445E-2</v>
      </c>
      <c r="K38" s="45">
        <f t="shared" si="6"/>
        <v>18.71416662413445</v>
      </c>
      <c r="L38" s="45">
        <v>-1.1900000000000001E-2</v>
      </c>
      <c r="M38" s="45">
        <f t="shared" si="3"/>
        <v>1.4588543527450279E-2</v>
      </c>
      <c r="N38" s="45">
        <f t="shared" si="7"/>
        <v>14.588543527450279</v>
      </c>
      <c r="O38" s="45">
        <v>8.8488500000000005</v>
      </c>
      <c r="P38" s="84">
        <f t="shared" si="8"/>
        <v>491.60277777777782</v>
      </c>
      <c r="Q38" s="84">
        <f t="shared" si="9"/>
        <v>214.20600338900991</v>
      </c>
      <c r="R38" s="45">
        <v>-1.8932500000000019</v>
      </c>
      <c r="S38" s="45">
        <f t="shared" si="10"/>
        <v>-1.8932500000000019E-3</v>
      </c>
      <c r="T38" s="45">
        <f t="shared" si="11"/>
        <v>2.6843465781374296E-3</v>
      </c>
      <c r="U38" s="45">
        <f t="shared" si="12"/>
        <v>2.6843465781374296</v>
      </c>
      <c r="V38" s="45">
        <v>3.8909999999999999E-3</v>
      </c>
      <c r="W38" s="45">
        <f t="shared" si="13"/>
        <v>4.7700859550679859E-3</v>
      </c>
      <c r="X38" s="45">
        <f t="shared" si="14"/>
        <v>4.7700859550679855</v>
      </c>
      <c r="Y38" s="45">
        <v>2.2950000000000004</v>
      </c>
    </row>
    <row r="39" spans="1:25" x14ac:dyDescent="0.35">
      <c r="A39">
        <v>32</v>
      </c>
      <c r="B39" t="s">
        <v>104</v>
      </c>
      <c r="C39" s="45">
        <v>8.4700000000000006</v>
      </c>
      <c r="D39" s="45">
        <f t="shared" si="4"/>
        <v>0.55581776466732213</v>
      </c>
      <c r="E39" s="45">
        <f t="shared" si="0"/>
        <v>2.1076609636184855</v>
      </c>
      <c r="F39" s="45">
        <v>-4.9444499999999998</v>
      </c>
      <c r="G39" s="45">
        <f t="shared" si="5"/>
        <v>-4.9444499999999995E-3</v>
      </c>
      <c r="H39" s="45">
        <f t="shared" si="1"/>
        <v>14.056027103148459</v>
      </c>
      <c r="I39" s="45">
        <v>-1.5457142857142836E-2</v>
      </c>
      <c r="J39" s="45">
        <f t="shared" si="2"/>
        <v>6.4078254073776791E-3</v>
      </c>
      <c r="K39" s="45">
        <f t="shared" si="6"/>
        <v>6.407825407377679</v>
      </c>
      <c r="L39" s="45">
        <v>-2.3219999999999998E-2</v>
      </c>
      <c r="M39" s="45">
        <f t="shared" si="3"/>
        <v>1.3782612234930195E-2</v>
      </c>
      <c r="N39" s="45">
        <f t="shared" si="7"/>
        <v>13.782612234930195</v>
      </c>
      <c r="O39" s="45">
        <v>12.5685</v>
      </c>
      <c r="P39" s="84">
        <f t="shared" si="8"/>
        <v>698.24999999999989</v>
      </c>
      <c r="Q39" s="84">
        <f t="shared" si="9"/>
        <v>147.31012658227846</v>
      </c>
      <c r="R39" s="45">
        <v>-2.6547499999999999</v>
      </c>
      <c r="S39" s="45">
        <f t="shared" si="10"/>
        <v>-2.65475E-3</v>
      </c>
      <c r="T39" s="45">
        <f t="shared" si="11"/>
        <v>1.8224624941397094E-3</v>
      </c>
      <c r="U39" s="45">
        <f t="shared" si="12"/>
        <v>1.8224624941397094</v>
      </c>
      <c r="V39" s="45">
        <v>2.1054999999999997E-2</v>
      </c>
      <c r="W39" s="45">
        <f t="shared" si="13"/>
        <v>1.2497540939123827E-2</v>
      </c>
      <c r="X39" s="45">
        <f t="shared" si="14"/>
        <v>12.497540939123827</v>
      </c>
      <c r="Y39" s="45">
        <v>4.74</v>
      </c>
    </row>
    <row r="40" spans="1:25" x14ac:dyDescent="0.35">
      <c r="A40">
        <v>33</v>
      </c>
      <c r="B40" t="s">
        <v>104</v>
      </c>
      <c r="C40" s="45">
        <v>9.0488499999999998</v>
      </c>
      <c r="D40" s="45">
        <f t="shared" si="4"/>
        <v>0.52546181579809903</v>
      </c>
      <c r="E40" s="45">
        <f t="shared" ref="E40:E71" si="15">(D40/0.5)*($C$3/$C$2*Y40)</f>
        <v>2.2763005860373648</v>
      </c>
      <c r="F40" s="45">
        <v>-9.6183499999999995</v>
      </c>
      <c r="G40" s="45">
        <f t="shared" si="5"/>
        <v>-9.6183499999999995E-3</v>
      </c>
      <c r="H40" s="45">
        <f t="shared" ref="H40:H71" si="16">(-G40*$F$1*$F$3)/($F$4*$F$2*0.6*Y40*10^-3)</f>
        <v>23.934538259605205</v>
      </c>
      <c r="I40" s="45">
        <v>3.8528571428571579E-3</v>
      </c>
      <c r="J40" s="45">
        <f t="shared" ref="J40:J71" si="17">(-I40*I$1*I$3)/(I$4*I$2*0.6*$Y40*10^-3)</f>
        <v>-1.3981193181521014E-3</v>
      </c>
      <c r="K40" s="45">
        <f t="shared" si="6"/>
        <v>-1.3981193181521014</v>
      </c>
      <c r="L40" s="45">
        <v>-2.8424999999999999E-2</v>
      </c>
      <c r="M40" s="45">
        <f t="shared" ref="M40:M58" si="18">(-L40*L$1*L$3)/(L$4*L$2*0.6*$Y40*10^-3)</f>
        <v>1.476895191100106E-2</v>
      </c>
      <c r="N40" s="45">
        <f t="shared" si="7"/>
        <v>14.768951911001061</v>
      </c>
      <c r="O40" s="45">
        <v>11.224499999999999</v>
      </c>
      <c r="P40" s="84">
        <f t="shared" si="8"/>
        <v>623.58333333333326</v>
      </c>
      <c r="Q40" s="84">
        <f t="shared" si="9"/>
        <v>115.15851031086487</v>
      </c>
      <c r="R40" s="45">
        <v>-3.2932500000000005</v>
      </c>
      <c r="S40" s="45">
        <f t="shared" si="10"/>
        <v>-3.2932500000000006E-3</v>
      </c>
      <c r="T40" s="45">
        <f t="shared" si="11"/>
        <v>1.9789715516862335E-3</v>
      </c>
      <c r="U40" s="45">
        <f t="shared" si="12"/>
        <v>1.9789715516862336</v>
      </c>
      <c r="V40" s="45">
        <v>2.7630000000000003E-3</v>
      </c>
      <c r="W40" s="45">
        <f t="shared" si="13"/>
        <v>1.4355888876023196E-3</v>
      </c>
      <c r="X40" s="45">
        <f t="shared" si="14"/>
        <v>1.4355888876023195</v>
      </c>
      <c r="Y40" s="45">
        <v>5.415</v>
      </c>
    </row>
    <row r="41" spans="1:25" x14ac:dyDescent="0.35">
      <c r="A41">
        <v>34</v>
      </c>
      <c r="B41" t="s">
        <v>104</v>
      </c>
      <c r="C41" s="45">
        <v>9.4120500000000007</v>
      </c>
      <c r="D41" s="45">
        <f t="shared" si="4"/>
        <v>0.50641494591937075</v>
      </c>
      <c r="E41" s="45">
        <f t="shared" si="15"/>
        <v>2.2849442359882004</v>
      </c>
      <c r="F41" s="45">
        <v>-13.129999999999999</v>
      </c>
      <c r="G41" s="45">
        <f t="shared" si="5"/>
        <v>-1.3129999999999999E-2</v>
      </c>
      <c r="H41" s="45">
        <f t="shared" si="16"/>
        <v>31.369569606160194</v>
      </c>
      <c r="I41" s="45">
        <v>2.4132857142857164E-2</v>
      </c>
      <c r="J41" s="45">
        <f t="shared" si="17"/>
        <v>-8.4079366165293601E-3</v>
      </c>
      <c r="K41" s="45">
        <f t="shared" si="6"/>
        <v>-8.4079366165293603</v>
      </c>
      <c r="L41" s="45">
        <v>-2.7654999999999999E-2</v>
      </c>
      <c r="M41" s="45">
        <f t="shared" si="18"/>
        <v>1.37956517525256E-2</v>
      </c>
      <c r="N41" s="45">
        <f t="shared" si="7"/>
        <v>13.7956517525256</v>
      </c>
      <c r="O41" s="45">
        <v>9.4024999999999999</v>
      </c>
      <c r="P41" s="84">
        <f t="shared" si="8"/>
        <v>522.36111111111109</v>
      </c>
      <c r="Q41" s="84">
        <f t="shared" si="9"/>
        <v>92.617218282111907</v>
      </c>
      <c r="R41" s="45">
        <v>-1.6417500000000018</v>
      </c>
      <c r="S41" s="45">
        <f t="shared" si="10"/>
        <v>-1.6417500000000017E-3</v>
      </c>
      <c r="T41" s="45">
        <f t="shared" si="11"/>
        <v>9.4719900371496217E-4</v>
      </c>
      <c r="U41" s="45">
        <f t="shared" si="12"/>
        <v>0.94719900371496213</v>
      </c>
      <c r="V41" s="45">
        <v>1.2397999999999999E-2</v>
      </c>
      <c r="W41" s="45">
        <f t="shared" si="13"/>
        <v>6.1847221272034849E-3</v>
      </c>
      <c r="X41" s="45">
        <f t="shared" si="14"/>
        <v>6.1847221272034849</v>
      </c>
      <c r="Y41" s="45">
        <v>5.64</v>
      </c>
    </row>
    <row r="42" spans="1:25" x14ac:dyDescent="0.35">
      <c r="A42">
        <v>35</v>
      </c>
      <c r="B42" t="s">
        <v>104</v>
      </c>
      <c r="C42" s="45">
        <v>9.1686499999999995</v>
      </c>
      <c r="D42" s="45">
        <f t="shared" si="4"/>
        <v>0.51917928548017045</v>
      </c>
      <c r="E42" s="45">
        <f t="shared" si="15"/>
        <v>2.3923781474926251</v>
      </c>
      <c r="F42" s="45">
        <v>-12.8245</v>
      </c>
      <c r="G42" s="45">
        <f t="shared" si="5"/>
        <v>-1.2824500000000001E-2</v>
      </c>
      <c r="H42" s="45">
        <f t="shared" si="16"/>
        <v>30.001356839406363</v>
      </c>
      <c r="I42" s="45">
        <v>1.7028571428571587E-3</v>
      </c>
      <c r="J42" s="45">
        <f t="shared" si="17"/>
        <v>-5.8091892229084627E-4</v>
      </c>
      <c r="K42" s="45">
        <f t="shared" si="6"/>
        <v>-0.5809189222908463</v>
      </c>
      <c r="L42" s="45">
        <v>-2.2589999999999999E-2</v>
      </c>
      <c r="M42" s="45">
        <f t="shared" si="18"/>
        <v>1.103421422829582E-2</v>
      </c>
      <c r="N42" s="45">
        <f t="shared" si="7"/>
        <v>11.03421422829582</v>
      </c>
      <c r="O42" s="45">
        <v>9.3461499999999997</v>
      </c>
      <c r="P42" s="84">
        <f t="shared" si="8"/>
        <v>519.2305555555555</v>
      </c>
      <c r="Q42" s="84">
        <f t="shared" si="9"/>
        <v>90.144193672839506</v>
      </c>
      <c r="R42" s="45">
        <v>-1.1077500000000011</v>
      </c>
      <c r="S42" s="45">
        <f t="shared" si="10"/>
        <v>-1.1077500000000011E-3</v>
      </c>
      <c r="T42" s="45">
        <f t="shared" si="11"/>
        <v>6.2579571759259326E-4</v>
      </c>
      <c r="U42" s="45">
        <f t="shared" si="12"/>
        <v>0.62579571759259323</v>
      </c>
      <c r="V42" s="45">
        <v>5.1090000000000007E-3</v>
      </c>
      <c r="W42" s="45">
        <f t="shared" si="13"/>
        <v>2.4955201634512328E-3</v>
      </c>
      <c r="X42" s="45">
        <f t="shared" si="14"/>
        <v>2.495520163451233</v>
      </c>
      <c r="Y42" s="45">
        <v>5.76</v>
      </c>
    </row>
    <row r="43" spans="1:25" x14ac:dyDescent="0.35">
      <c r="A43">
        <v>36</v>
      </c>
      <c r="B43" t="s">
        <v>104</v>
      </c>
      <c r="C43" s="45">
        <v>9.6214999999999993</v>
      </c>
      <c r="D43" s="45">
        <f t="shared" si="4"/>
        <v>0.4954310062274665</v>
      </c>
      <c r="E43" s="45">
        <f t="shared" si="15"/>
        <v>1.7657161061946907</v>
      </c>
      <c r="F43" s="45">
        <v>-11.1195</v>
      </c>
      <c r="G43" s="45">
        <f t="shared" si="5"/>
        <v>-1.1119500000000001E-2</v>
      </c>
      <c r="H43" s="45">
        <f t="shared" si="16"/>
        <v>33.632603617444452</v>
      </c>
      <c r="I43" s="45">
        <v>3.5432857142857162E-2</v>
      </c>
      <c r="J43" s="45">
        <f t="shared" si="17"/>
        <v>-1.5628534504323485E-2</v>
      </c>
      <c r="K43" s="45">
        <f t="shared" si="6"/>
        <v>-15.628534504323484</v>
      </c>
      <c r="L43" s="45">
        <v>-2.1194999999999999E-2</v>
      </c>
      <c r="M43" s="45">
        <f t="shared" si="18"/>
        <v>1.3385462340446262E-2</v>
      </c>
      <c r="N43" s="45">
        <f t="shared" si="7"/>
        <v>13.385462340446262</v>
      </c>
      <c r="O43" s="45">
        <v>11.184899999999999</v>
      </c>
      <c r="P43" s="84">
        <f t="shared" si="8"/>
        <v>621.38333333333321</v>
      </c>
      <c r="Q43" s="84">
        <f t="shared" si="9"/>
        <v>139.47998503554055</v>
      </c>
      <c r="R43" s="45">
        <v>-3.2677500000000013</v>
      </c>
      <c r="S43" s="45">
        <f t="shared" si="10"/>
        <v>-3.2677500000000011E-3</v>
      </c>
      <c r="T43" s="45">
        <f t="shared" si="11"/>
        <v>2.3867911923467484E-3</v>
      </c>
      <c r="U43" s="45">
        <f t="shared" si="12"/>
        <v>2.3867911923467484</v>
      </c>
      <c r="V43" s="45">
        <v>4.6840000000000007E-3</v>
      </c>
      <c r="W43" s="45">
        <f t="shared" si="13"/>
        <v>2.9581271810639447E-3</v>
      </c>
      <c r="X43" s="45">
        <f t="shared" si="14"/>
        <v>2.9581271810639449</v>
      </c>
      <c r="Y43" s="45">
        <v>4.4550000000000001</v>
      </c>
    </row>
    <row r="44" spans="1:25" x14ac:dyDescent="0.35">
      <c r="A44">
        <v>37</v>
      </c>
      <c r="B44" t="s">
        <v>104</v>
      </c>
      <c r="C44" s="45">
        <v>8.7143999999999995</v>
      </c>
      <c r="D44" s="45">
        <f t="shared" si="4"/>
        <v>0.54300098328416924</v>
      </c>
      <c r="E44" s="45">
        <f t="shared" si="15"/>
        <v>2.9387213215339245</v>
      </c>
      <c r="F44" s="45">
        <v>-10.426349999999999</v>
      </c>
      <c r="G44" s="45">
        <f t="shared" si="5"/>
        <v>-1.0426349999999999E-2</v>
      </c>
      <c r="H44" s="45">
        <f t="shared" si="16"/>
        <v>20.767653861480508</v>
      </c>
      <c r="I44" s="45">
        <v>5.4828571428571643E-3</v>
      </c>
      <c r="J44" s="45">
        <f t="shared" si="17"/>
        <v>-1.5925714302312277E-3</v>
      </c>
      <c r="K44" s="45">
        <f t="shared" si="6"/>
        <v>-1.5925714302312277</v>
      </c>
      <c r="L44" s="45">
        <v>-2.1545000000000002E-2</v>
      </c>
      <c r="M44" s="45">
        <f t="shared" si="18"/>
        <v>8.9603786274635635E-3</v>
      </c>
      <c r="N44" s="45">
        <f t="shared" si="7"/>
        <v>8.9603786274635642</v>
      </c>
      <c r="O44" s="45">
        <v>12.716999999999999</v>
      </c>
      <c r="P44" s="84">
        <f t="shared" si="8"/>
        <v>706.49999999999989</v>
      </c>
      <c r="Q44" s="84">
        <f t="shared" si="9"/>
        <v>104.43458980044343</v>
      </c>
      <c r="R44" s="45">
        <v>-6.4327500000000022</v>
      </c>
      <c r="S44" s="45">
        <f t="shared" si="10"/>
        <v>-6.4327500000000018E-3</v>
      </c>
      <c r="T44" s="45">
        <f t="shared" si="11"/>
        <v>3.0941558441558445E-3</v>
      </c>
      <c r="U44" s="45">
        <f t="shared" si="12"/>
        <v>3.0941558441558445</v>
      </c>
      <c r="V44" s="45">
        <v>1.6410000000000001E-2</v>
      </c>
      <c r="W44" s="45">
        <f t="shared" si="13"/>
        <v>6.8247766663577193E-3</v>
      </c>
      <c r="X44" s="45">
        <f t="shared" si="14"/>
        <v>6.8247766663577192</v>
      </c>
      <c r="Y44" s="45">
        <v>6.7650000000000006</v>
      </c>
    </row>
    <row r="45" spans="1:25" x14ac:dyDescent="0.35">
      <c r="A45">
        <v>38</v>
      </c>
      <c r="B45" t="s">
        <v>104</v>
      </c>
      <c r="C45" s="45">
        <v>8.8660999999999994</v>
      </c>
      <c r="D45" s="45">
        <f t="shared" si="4"/>
        <v>0.53504555883316951</v>
      </c>
      <c r="E45" s="45">
        <f t="shared" si="15"/>
        <v>2.1894064267453297</v>
      </c>
      <c r="F45" s="45">
        <v>-11.96105</v>
      </c>
      <c r="G45" s="45">
        <f t="shared" si="5"/>
        <v>-1.1961050000000001E-2</v>
      </c>
      <c r="H45" s="45">
        <f t="shared" si="16"/>
        <v>31.509869596879987</v>
      </c>
      <c r="I45" s="45">
        <v>3.6572857142857164E-2</v>
      </c>
      <c r="J45" s="45">
        <f t="shared" si="17"/>
        <v>-1.4049893834148584E-2</v>
      </c>
      <c r="K45" s="45">
        <f t="shared" si="6"/>
        <v>-14.049893834148584</v>
      </c>
      <c r="L45" s="45">
        <v>-2.5829999999999999E-2</v>
      </c>
      <c r="M45" s="45">
        <f t="shared" si="18"/>
        <v>1.4207786819549083E-2</v>
      </c>
      <c r="N45" s="45">
        <f t="shared" si="7"/>
        <v>14.207786819549083</v>
      </c>
      <c r="O45" s="45">
        <v>11.829000000000001</v>
      </c>
      <c r="P45" s="84">
        <f t="shared" si="8"/>
        <v>657.16666666666674</v>
      </c>
      <c r="Q45" s="84">
        <f t="shared" si="9"/>
        <v>128.47833170413816</v>
      </c>
      <c r="R45" s="45">
        <v>-7.137750000000004</v>
      </c>
      <c r="S45" s="45">
        <f t="shared" si="10"/>
        <v>-7.1377500000000043E-3</v>
      </c>
      <c r="T45" s="45">
        <f t="shared" si="11"/>
        <v>4.5407647907647931E-3</v>
      </c>
      <c r="U45" s="45">
        <f t="shared" si="12"/>
        <v>4.5407647907647934</v>
      </c>
      <c r="V45" s="45">
        <v>5.0680000000000003E-2</v>
      </c>
      <c r="W45" s="45">
        <f t="shared" si="13"/>
        <v>2.7876524816676254E-2</v>
      </c>
      <c r="X45" s="45">
        <f t="shared" si="14"/>
        <v>27.876524816676255</v>
      </c>
      <c r="Y45" s="45">
        <v>5.1150000000000002</v>
      </c>
    </row>
    <row r="46" spans="1:25" x14ac:dyDescent="0.35">
      <c r="A46">
        <v>39</v>
      </c>
      <c r="B46" t="s">
        <v>104</v>
      </c>
      <c r="C46" s="45">
        <v>10.1747</v>
      </c>
      <c r="D46" s="45">
        <f t="shared" si="4"/>
        <v>0.46642019010160607</v>
      </c>
      <c r="E46" s="45">
        <f t="shared" si="15"/>
        <v>1.9533677561455265</v>
      </c>
      <c r="F46" s="45">
        <v>-13.5655</v>
      </c>
      <c r="G46" s="45">
        <f t="shared" si="5"/>
        <v>-1.3565499999999999E-2</v>
      </c>
      <c r="H46" s="45">
        <f t="shared" si="16"/>
        <v>34.917412841199997</v>
      </c>
      <c r="I46" s="45">
        <v>1.2232857142857156E-2</v>
      </c>
      <c r="J46" s="45">
        <f t="shared" si="17"/>
        <v>-4.5916736046551178E-3</v>
      </c>
      <c r="K46" s="45">
        <f t="shared" si="6"/>
        <v>-4.5916736046551181</v>
      </c>
      <c r="L46" s="45">
        <v>-3.0259999999999999E-2</v>
      </c>
      <c r="M46" s="45">
        <f t="shared" si="18"/>
        <v>1.626297152789934E-2</v>
      </c>
      <c r="N46" s="45">
        <f t="shared" si="7"/>
        <v>16.262971527899339</v>
      </c>
      <c r="O46" s="45">
        <v>11.440999999999999</v>
      </c>
      <c r="P46" s="84">
        <f t="shared" si="8"/>
        <v>635.61111111111109</v>
      </c>
      <c r="Q46" s="84">
        <f t="shared" si="9"/>
        <v>121.4156850260002</v>
      </c>
      <c r="R46" s="45">
        <v>-5.235750000000003</v>
      </c>
      <c r="S46" s="45">
        <f t="shared" si="10"/>
        <v>-5.2357500000000034E-3</v>
      </c>
      <c r="T46" s="45">
        <f t="shared" si="11"/>
        <v>3.2544344385318615E-3</v>
      </c>
      <c r="U46" s="45">
        <f t="shared" si="12"/>
        <v>3.2544344385318613</v>
      </c>
      <c r="V46" s="45">
        <v>2.2440000000000002E-2</v>
      </c>
      <c r="W46" s="45">
        <f t="shared" si="13"/>
        <v>1.2060181133048952E-2</v>
      </c>
      <c r="X46" s="45">
        <f t="shared" si="14"/>
        <v>12.060181133048951</v>
      </c>
      <c r="Y46" s="45">
        <v>5.2350000000000003</v>
      </c>
    </row>
    <row r="47" spans="1:25" x14ac:dyDescent="0.35">
      <c r="A47">
        <v>40</v>
      </c>
      <c r="B47" t="s">
        <v>104</v>
      </c>
      <c r="C47" s="45">
        <v>9.7067999999999994</v>
      </c>
      <c r="D47" s="45">
        <f t="shared" si="4"/>
        <v>0.49095771878072769</v>
      </c>
      <c r="E47" s="45">
        <f t="shared" si="15"/>
        <v>2.4155119764011808</v>
      </c>
      <c r="F47" s="45">
        <v>-8.8269000000000002</v>
      </c>
      <c r="G47" s="45">
        <f t="shared" si="5"/>
        <v>-8.8269000000000004E-3</v>
      </c>
      <c r="H47" s="45">
        <f t="shared" si="16"/>
        <v>19.339980362916315</v>
      </c>
      <c r="I47" s="45">
        <v>3.1428571428571694E-3</v>
      </c>
      <c r="J47" s="45">
        <f t="shared" si="17"/>
        <v>-1.0041747944657606E-3</v>
      </c>
      <c r="K47" s="45">
        <f t="shared" si="6"/>
        <v>-1.0041747944657606</v>
      </c>
      <c r="L47" s="45">
        <v>-1.8849999999999999E-2</v>
      </c>
      <c r="M47" s="45">
        <f t="shared" si="18"/>
        <v>8.6235066530729616E-3</v>
      </c>
      <c r="N47" s="45">
        <f t="shared" si="7"/>
        <v>8.6235066530729618</v>
      </c>
      <c r="O47" s="45">
        <v>10.1053</v>
      </c>
      <c r="P47" s="84">
        <f t="shared" si="8"/>
        <v>561.40555555555557</v>
      </c>
      <c r="Q47" s="84">
        <f t="shared" si="9"/>
        <v>91.285456187895207</v>
      </c>
      <c r="R47" s="45">
        <v>-3.3052500000000009</v>
      </c>
      <c r="S47" s="45">
        <f t="shared" si="10"/>
        <v>-3.3052500000000009E-3</v>
      </c>
      <c r="T47" s="45">
        <f t="shared" si="11"/>
        <v>1.7488095238095244E-3</v>
      </c>
      <c r="U47" s="45">
        <f t="shared" si="12"/>
        <v>1.7488095238095245</v>
      </c>
      <c r="V47" s="45">
        <v>7.5565000000000007E-3</v>
      </c>
      <c r="W47" s="45">
        <f t="shared" si="13"/>
        <v>3.456951088803493E-3</v>
      </c>
      <c r="X47" s="45">
        <f t="shared" si="14"/>
        <v>3.4569510888034931</v>
      </c>
      <c r="Y47" s="45">
        <v>6.15</v>
      </c>
    </row>
    <row r="48" spans="1:25" x14ac:dyDescent="0.35">
      <c r="A48">
        <v>41</v>
      </c>
      <c r="B48" t="s">
        <v>104</v>
      </c>
      <c r="C48" s="45">
        <v>7.0092999999999996</v>
      </c>
      <c r="D48" s="45">
        <f t="shared" si="4"/>
        <v>0.63241953457882671</v>
      </c>
      <c r="E48" s="45">
        <f t="shared" si="15"/>
        <v>3.6199694159292042</v>
      </c>
      <c r="F48" s="45">
        <v>-5.1094500000000007</v>
      </c>
      <c r="G48" s="45">
        <f t="shared" si="5"/>
        <v>-5.1094500000000006E-3</v>
      </c>
      <c r="H48" s="45">
        <f t="shared" si="16"/>
        <v>9.6224896705413876</v>
      </c>
      <c r="I48" s="45">
        <v>8.5285714285716907E-4</v>
      </c>
      <c r="J48" s="45">
        <f t="shared" si="17"/>
        <v>-2.342213307045833E-4</v>
      </c>
      <c r="K48" s="45">
        <f t="shared" si="6"/>
        <v>-0.23422133070458329</v>
      </c>
      <c r="L48" s="45">
        <v>-2.2030000000000001E-2</v>
      </c>
      <c r="M48" s="45">
        <f t="shared" si="18"/>
        <v>8.6626850110439278E-3</v>
      </c>
      <c r="N48" s="45">
        <f t="shared" si="7"/>
        <v>8.6626850110439282</v>
      </c>
      <c r="O48" s="45">
        <v>10.69425</v>
      </c>
      <c r="P48" s="84">
        <f t="shared" si="8"/>
        <v>594.125</v>
      </c>
      <c r="Q48" s="84">
        <f t="shared" si="9"/>
        <v>83.036338225017474</v>
      </c>
      <c r="R48" s="45">
        <v>-3.8562500000000011</v>
      </c>
      <c r="S48" s="45">
        <f t="shared" si="10"/>
        <v>-3.8562500000000012E-3</v>
      </c>
      <c r="T48" s="45">
        <f t="shared" si="11"/>
        <v>1.7537547280733871E-3</v>
      </c>
      <c r="U48" s="45">
        <f t="shared" si="12"/>
        <v>1.7537547280733872</v>
      </c>
      <c r="V48" s="45">
        <v>7.8949999999999992E-3</v>
      </c>
      <c r="W48" s="45">
        <f t="shared" si="13"/>
        <v>3.1044892493051202E-3</v>
      </c>
      <c r="X48" s="45">
        <f t="shared" si="14"/>
        <v>3.1044892493051202</v>
      </c>
      <c r="Y48" s="45">
        <v>7.1549999999999994</v>
      </c>
    </row>
    <row r="49" spans="1:25" x14ac:dyDescent="0.35">
      <c r="A49">
        <v>42</v>
      </c>
      <c r="B49" t="s">
        <v>104</v>
      </c>
      <c r="C49" s="45">
        <v>9.7987000000000002</v>
      </c>
      <c r="D49" s="45">
        <f t="shared" si="4"/>
        <v>0.4861383153064569</v>
      </c>
      <c r="E49" s="45">
        <f t="shared" si="15"/>
        <v>1.4875832448377584</v>
      </c>
      <c r="F49" s="45">
        <v>-5.6951999999999998</v>
      </c>
      <c r="G49" s="45">
        <f t="shared" si="5"/>
        <v>-5.6952000000000001E-3</v>
      </c>
      <c r="H49" s="45">
        <f t="shared" si="16"/>
        <v>20.063212753519807</v>
      </c>
      <c r="I49" s="45">
        <v>7.5828571428571689E-3</v>
      </c>
      <c r="J49" s="45">
        <f t="shared" si="17"/>
        <v>-3.8954822133688669E-3</v>
      </c>
      <c r="K49" s="45">
        <f t="shared" si="6"/>
        <v>-3.8954822133688669</v>
      </c>
      <c r="L49" s="45">
        <v>-1.5130000000000001E-2</v>
      </c>
      <c r="M49" s="45">
        <f t="shared" si="18"/>
        <v>1.1128974633797787E-2</v>
      </c>
      <c r="N49" s="45">
        <f t="shared" si="7"/>
        <v>11.128974633797787</v>
      </c>
      <c r="O49" s="45">
        <v>7.1057500000000005</v>
      </c>
      <c r="P49" s="84">
        <f t="shared" si="8"/>
        <v>394.76388888888891</v>
      </c>
      <c r="Q49" s="84">
        <f t="shared" si="9"/>
        <v>103.20624546114742</v>
      </c>
      <c r="R49" s="45">
        <v>-1.853250000000001</v>
      </c>
      <c r="S49" s="45">
        <f t="shared" si="10"/>
        <v>-1.8532500000000009E-3</v>
      </c>
      <c r="T49" s="45">
        <f t="shared" si="11"/>
        <v>1.5765795206971686E-3</v>
      </c>
      <c r="U49" s="45">
        <f t="shared" si="12"/>
        <v>1.5765795206971687</v>
      </c>
      <c r="V49" s="45">
        <v>2.6845000000000003E-3</v>
      </c>
      <c r="W49" s="45">
        <f t="shared" si="13"/>
        <v>1.9746022739213589E-3</v>
      </c>
      <c r="X49" s="45">
        <f t="shared" si="14"/>
        <v>1.9746022739213589</v>
      </c>
      <c r="Y49" s="45">
        <v>3.8250000000000002</v>
      </c>
    </row>
    <row r="50" spans="1:25" x14ac:dyDescent="0.35">
      <c r="A50">
        <v>43</v>
      </c>
      <c r="B50" t="s">
        <v>104</v>
      </c>
      <c r="C50" s="45">
        <v>8.4954000000000001</v>
      </c>
      <c r="D50" s="45">
        <f t="shared" si="4"/>
        <v>0.55448574237954773</v>
      </c>
      <c r="E50" s="45">
        <f t="shared" si="15"/>
        <v>3.692875044247788</v>
      </c>
      <c r="F50" s="45">
        <v>-6.7548000000000004</v>
      </c>
      <c r="G50" s="45">
        <f t="shared" si="5"/>
        <v>-6.7548E-3</v>
      </c>
      <c r="H50" s="45">
        <f t="shared" si="16"/>
        <v>10.93329812885144</v>
      </c>
      <c r="I50" s="45">
        <v>1.7902857142857165E-2</v>
      </c>
      <c r="J50" s="45">
        <f t="shared" si="17"/>
        <v>-4.2256925429487117E-3</v>
      </c>
      <c r="K50" s="45">
        <f t="shared" si="6"/>
        <v>-4.2256925429487113</v>
      </c>
      <c r="L50" s="45">
        <v>-3.3055000000000001E-2</v>
      </c>
      <c r="M50" s="45">
        <f t="shared" si="18"/>
        <v>1.1171219450962217E-2</v>
      </c>
      <c r="N50" s="45">
        <f t="shared" si="7"/>
        <v>11.171219450962218</v>
      </c>
      <c r="O50" s="45">
        <v>14.685500000000001</v>
      </c>
      <c r="P50" s="84">
        <f t="shared" si="8"/>
        <v>815.8611111111112</v>
      </c>
      <c r="Q50" s="84">
        <f t="shared" si="9"/>
        <v>98.001334668001348</v>
      </c>
      <c r="R50" s="45">
        <v>-9.0247500000000009</v>
      </c>
      <c r="S50" s="45">
        <f t="shared" si="10"/>
        <v>-9.0247500000000015E-3</v>
      </c>
      <c r="T50" s="45">
        <f t="shared" si="11"/>
        <v>3.5274774774774779E-3</v>
      </c>
      <c r="U50" s="45">
        <f t="shared" si="12"/>
        <v>3.5274774774774778</v>
      </c>
      <c r="V50" s="45">
        <v>1.2449999999999999E-2</v>
      </c>
      <c r="W50" s="45">
        <f t="shared" si="13"/>
        <v>4.2075837895773583E-3</v>
      </c>
      <c r="X50" s="45">
        <f t="shared" si="14"/>
        <v>4.2075837895773587</v>
      </c>
      <c r="Y50" s="45">
        <v>8.3249999999999993</v>
      </c>
    </row>
    <row r="51" spans="1:25" x14ac:dyDescent="0.35">
      <c r="A51">
        <v>44</v>
      </c>
      <c r="B51" t="s">
        <v>104</v>
      </c>
      <c r="C51" s="45">
        <v>9.8391999999999999</v>
      </c>
      <c r="D51" s="45">
        <f t="shared" si="4"/>
        <v>0.48401442150114721</v>
      </c>
      <c r="E51" s="45">
        <f t="shared" si="15"/>
        <v>2.2709956656833827</v>
      </c>
      <c r="F51" s="45">
        <v>-4.6798000000000002</v>
      </c>
      <c r="G51" s="45">
        <f t="shared" si="5"/>
        <v>-4.6798000000000005E-3</v>
      </c>
      <c r="H51" s="45">
        <f t="shared" si="16"/>
        <v>10.751825684320204</v>
      </c>
      <c r="I51" s="45">
        <v>5.9428571428571664E-3</v>
      </c>
      <c r="J51" s="45">
        <f t="shared" si="17"/>
        <v>-1.9910724592429592E-3</v>
      </c>
      <c r="K51" s="45">
        <f t="shared" si="6"/>
        <v>-1.9910724592429592</v>
      </c>
      <c r="L51" s="45">
        <v>-2.1944999999999999E-2</v>
      </c>
      <c r="M51" s="45">
        <f t="shared" si="18"/>
        <v>1.0527257177161369E-2</v>
      </c>
      <c r="N51" s="45">
        <f t="shared" si="7"/>
        <v>10.527257177161369</v>
      </c>
      <c r="O51" s="45">
        <v>6.96265</v>
      </c>
      <c r="P51" s="84">
        <f t="shared" si="8"/>
        <v>386.81388888888887</v>
      </c>
      <c r="Q51" s="84">
        <f t="shared" si="9"/>
        <v>65.9529222316946</v>
      </c>
      <c r="R51" s="45">
        <v>-3.2677500000000013</v>
      </c>
      <c r="S51" s="45">
        <f t="shared" si="10"/>
        <v>-3.2677500000000011E-3</v>
      </c>
      <c r="T51" s="45">
        <f t="shared" si="11"/>
        <v>1.8129846141355099E-3</v>
      </c>
      <c r="U51" s="45">
        <f t="shared" si="12"/>
        <v>1.8129846141355099</v>
      </c>
      <c r="V51" s="45">
        <v>1.72E-3</v>
      </c>
      <c r="W51" s="45">
        <f t="shared" si="13"/>
        <v>8.2510286373741425E-4</v>
      </c>
      <c r="X51" s="45">
        <f t="shared" si="14"/>
        <v>0.82510286373741426</v>
      </c>
      <c r="Y51" s="45">
        <v>5.8650000000000002</v>
      </c>
    </row>
    <row r="52" spans="1:25" x14ac:dyDescent="0.35">
      <c r="A52">
        <v>45</v>
      </c>
      <c r="B52" t="s">
        <v>104</v>
      </c>
      <c r="C52" s="45">
        <v>7.9146000000000001</v>
      </c>
      <c r="D52" s="45">
        <f t="shared" si="4"/>
        <v>0.58494395280235989</v>
      </c>
      <c r="E52" s="45">
        <f t="shared" si="15"/>
        <v>2.9691755044247792</v>
      </c>
      <c r="F52" s="45">
        <v>-4.3429500000000001</v>
      </c>
      <c r="G52" s="45">
        <f t="shared" si="5"/>
        <v>-4.3429499999999999E-3</v>
      </c>
      <c r="H52" s="45">
        <f t="shared" si="16"/>
        <v>9.2230835116238232</v>
      </c>
      <c r="I52" s="45">
        <v>1.7002857142857167E-2</v>
      </c>
      <c r="J52" s="45">
        <f t="shared" si="17"/>
        <v>-5.2656267413817674E-3</v>
      </c>
      <c r="K52" s="45">
        <f t="shared" si="6"/>
        <v>-5.2656267413817677</v>
      </c>
      <c r="L52" s="45">
        <v>-2.5555000000000001E-2</v>
      </c>
      <c r="M52" s="45">
        <f t="shared" si="18"/>
        <v>1.1331617928388811E-2</v>
      </c>
      <c r="N52" s="45">
        <f t="shared" si="7"/>
        <v>11.331617928388811</v>
      </c>
      <c r="O52" s="45">
        <v>10.367899999999999</v>
      </c>
      <c r="P52" s="84">
        <f t="shared" si="8"/>
        <v>575.99444444444441</v>
      </c>
      <c r="Q52" s="84">
        <f t="shared" si="9"/>
        <v>90.779266263899814</v>
      </c>
      <c r="R52" s="45">
        <v>-3.933250000000001</v>
      </c>
      <c r="S52" s="45">
        <f t="shared" si="10"/>
        <v>-3.933250000000001E-3</v>
      </c>
      <c r="T52" s="45">
        <f t="shared" si="11"/>
        <v>2.0171269716186976E-3</v>
      </c>
      <c r="U52" s="45">
        <f t="shared" si="12"/>
        <v>2.0171269716186977</v>
      </c>
      <c r="V52" s="45">
        <v>2.8435000000000001E-3</v>
      </c>
      <c r="W52" s="45">
        <f t="shared" si="13"/>
        <v>1.2608669763010598E-3</v>
      </c>
      <c r="X52" s="45">
        <f t="shared" si="14"/>
        <v>1.2608669763010598</v>
      </c>
      <c r="Y52" s="45">
        <v>6.3450000000000006</v>
      </c>
    </row>
    <row r="53" spans="1:25" x14ac:dyDescent="0.35">
      <c r="A53">
        <v>46</v>
      </c>
      <c r="B53" t="s">
        <v>104</v>
      </c>
      <c r="C53" s="45">
        <v>8.805299999999999</v>
      </c>
      <c r="D53" s="45">
        <f t="shared" si="4"/>
        <v>0.53823402163225176</v>
      </c>
      <c r="E53" s="45">
        <f t="shared" si="15"/>
        <v>3.4425448023598824</v>
      </c>
      <c r="F53" s="45">
        <v>-7.2124499999999996</v>
      </c>
      <c r="G53" s="45">
        <f t="shared" si="5"/>
        <v>-7.2124499999999996E-3</v>
      </c>
      <c r="H53" s="45">
        <f t="shared" si="16"/>
        <v>12.155904666288084</v>
      </c>
      <c r="I53" s="45">
        <v>1.8722857142857166E-2</v>
      </c>
      <c r="J53" s="45">
        <f t="shared" si="17"/>
        <v>-4.6016485511427146E-3</v>
      </c>
      <c r="K53" s="45">
        <f t="shared" si="6"/>
        <v>-4.6016485511427145</v>
      </c>
      <c r="L53" s="45">
        <v>-2.5660000000000002E-2</v>
      </c>
      <c r="M53" s="45">
        <f t="shared" si="18"/>
        <v>9.0299604455356969E-3</v>
      </c>
      <c r="N53" s="45">
        <f t="shared" si="7"/>
        <v>9.0299604455356963</v>
      </c>
      <c r="O53" s="45">
        <v>11.132</v>
      </c>
      <c r="P53" s="84">
        <f t="shared" si="8"/>
        <v>618.44444444444446</v>
      </c>
      <c r="Q53" s="84">
        <f t="shared" si="9"/>
        <v>77.353901744145659</v>
      </c>
      <c r="R53" s="45">
        <v>-4.5057500000000008</v>
      </c>
      <c r="S53" s="45">
        <f t="shared" si="10"/>
        <v>-4.5057500000000011E-3</v>
      </c>
      <c r="T53" s="45">
        <f t="shared" si="11"/>
        <v>1.8338420838420846E-3</v>
      </c>
      <c r="U53" s="45">
        <f t="shared" si="12"/>
        <v>1.8338420838420846</v>
      </c>
      <c r="V53" s="45">
        <v>2.1989999999999999E-2</v>
      </c>
      <c r="W53" s="45">
        <f t="shared" si="13"/>
        <v>7.738457918835929E-3</v>
      </c>
      <c r="X53" s="45">
        <f t="shared" si="14"/>
        <v>7.7384579188359286</v>
      </c>
      <c r="Y53" s="45">
        <v>7.9949999999999992</v>
      </c>
    </row>
    <row r="54" spans="1:25" x14ac:dyDescent="0.35">
      <c r="A54">
        <v>47</v>
      </c>
      <c r="B54" t="s">
        <v>104</v>
      </c>
      <c r="C54" s="45">
        <v>8.9260000000000002</v>
      </c>
      <c r="D54" s="45">
        <f t="shared" si="4"/>
        <v>0.53190429367420522</v>
      </c>
      <c r="E54" s="45">
        <f t="shared" si="15"/>
        <v>2.5786720157325473</v>
      </c>
      <c r="F54" s="45">
        <v>-5.0702999999999996</v>
      </c>
      <c r="G54" s="45">
        <f t="shared" si="5"/>
        <v>-5.0702999999999998E-3</v>
      </c>
      <c r="H54" s="45">
        <f t="shared" si="16"/>
        <v>11.274154196622289</v>
      </c>
      <c r="I54" s="45">
        <v>-1.1571428571428427E-3</v>
      </c>
      <c r="J54" s="45">
        <f t="shared" si="17"/>
        <v>3.7520977637496859E-4</v>
      </c>
      <c r="K54" s="45">
        <f t="shared" si="6"/>
        <v>0.37520977637496861</v>
      </c>
      <c r="L54" s="45">
        <v>-2.3895E-2</v>
      </c>
      <c r="M54" s="45">
        <f t="shared" si="18"/>
        <v>1.1093844513068669E-2</v>
      </c>
      <c r="N54" s="45">
        <f t="shared" si="7"/>
        <v>11.093844513068669</v>
      </c>
      <c r="O54" s="45">
        <v>11.6905</v>
      </c>
      <c r="P54" s="84">
        <f t="shared" si="8"/>
        <v>649.47222222222217</v>
      </c>
      <c r="Q54" s="84">
        <f t="shared" si="9"/>
        <v>107.17363403006965</v>
      </c>
      <c r="R54" s="45">
        <v>-6.4532500000000006</v>
      </c>
      <c r="S54" s="45">
        <f t="shared" si="10"/>
        <v>-6.4532500000000007E-3</v>
      </c>
      <c r="T54" s="45">
        <f t="shared" si="11"/>
        <v>3.4651271674786526E-3</v>
      </c>
      <c r="U54" s="45">
        <f t="shared" si="12"/>
        <v>3.4651271674786526</v>
      </c>
      <c r="V54" s="45">
        <v>1.5150000000000001E-3</v>
      </c>
      <c r="W54" s="45">
        <f t="shared" si="13"/>
        <v>7.0337620578778126E-4</v>
      </c>
      <c r="X54" s="45">
        <f t="shared" si="14"/>
        <v>0.70337620578778126</v>
      </c>
      <c r="Y54" s="45">
        <v>6.0600000000000005</v>
      </c>
    </row>
    <row r="55" spans="1:25" x14ac:dyDescent="0.35">
      <c r="A55">
        <v>48</v>
      </c>
      <c r="B55" t="s">
        <v>104</v>
      </c>
      <c r="C55" s="45">
        <v>10.702199999999999</v>
      </c>
      <c r="D55" s="45">
        <f t="shared" si="4"/>
        <v>0.43875712881022622</v>
      </c>
      <c r="E55" s="45">
        <f t="shared" si="15"/>
        <v>2.3113725545722721</v>
      </c>
      <c r="F55" s="45">
        <v>-3.63035</v>
      </c>
      <c r="G55" s="45">
        <f t="shared" si="5"/>
        <v>-3.6303500000000001E-3</v>
      </c>
      <c r="H55" s="45">
        <f t="shared" si="16"/>
        <v>7.4287485057287821</v>
      </c>
      <c r="I55" s="45">
        <v>-5.6857142857142828E-2</v>
      </c>
      <c r="J55" s="45">
        <f t="shared" si="17"/>
        <v>1.6966374297051286E-2</v>
      </c>
      <c r="K55" s="45">
        <f t="shared" si="6"/>
        <v>16.966374297051285</v>
      </c>
      <c r="L55" s="45">
        <v>-2.3349999999999999E-2</v>
      </c>
      <c r="M55" s="45">
        <f t="shared" si="18"/>
        <v>9.9765129264356538E-3</v>
      </c>
      <c r="N55" s="45">
        <f t="shared" si="7"/>
        <v>9.9765129264356531</v>
      </c>
      <c r="O55" s="45">
        <v>10.580500000000001</v>
      </c>
      <c r="P55" s="84">
        <f t="shared" si="8"/>
        <v>587.80555555555566</v>
      </c>
      <c r="Q55" s="84">
        <f t="shared" si="9"/>
        <v>89.264321268877097</v>
      </c>
      <c r="R55" s="45">
        <v>-4.4722500000000007</v>
      </c>
      <c r="S55" s="45">
        <f t="shared" si="10"/>
        <v>-4.4722500000000005E-3</v>
      </c>
      <c r="T55" s="45">
        <f t="shared" si="11"/>
        <v>2.2099558882019018E-3</v>
      </c>
      <c r="U55" s="45">
        <f t="shared" si="12"/>
        <v>2.2099558882019017</v>
      </c>
      <c r="V55" s="45">
        <v>7.8935000000000012E-3</v>
      </c>
      <c r="W55" s="45">
        <f t="shared" si="13"/>
        <v>3.3725740807203355E-3</v>
      </c>
      <c r="X55" s="45">
        <f t="shared" si="14"/>
        <v>3.3725740807203355</v>
      </c>
      <c r="Y55" s="45">
        <v>6.585</v>
      </c>
    </row>
    <row r="56" spans="1:25" x14ac:dyDescent="0.35">
      <c r="A56">
        <v>49</v>
      </c>
      <c r="B56" t="s">
        <v>104</v>
      </c>
      <c r="C56" s="45">
        <v>7.2797000000000001</v>
      </c>
      <c r="D56" s="45">
        <f t="shared" si="4"/>
        <v>0.61823926581448707</v>
      </c>
      <c r="E56" s="45">
        <f t="shared" si="15"/>
        <v>3.5536392999016719</v>
      </c>
      <c r="F56" s="45">
        <v>-14.9255</v>
      </c>
      <c r="G56" s="45">
        <f t="shared" si="5"/>
        <v>-1.49255E-2</v>
      </c>
      <c r="H56" s="45">
        <f t="shared" si="16"/>
        <v>27.991427970962569</v>
      </c>
      <c r="I56" s="45">
        <v>-2.6557142857142835E-2</v>
      </c>
      <c r="J56" s="45">
        <f t="shared" si="17"/>
        <v>7.2629719737507198E-3</v>
      </c>
      <c r="K56" s="45">
        <f t="shared" si="6"/>
        <v>7.2629719737507195</v>
      </c>
      <c r="L56" s="45">
        <v>-2.5599999999999998E-2</v>
      </c>
      <c r="M56" s="45">
        <f t="shared" si="18"/>
        <v>1.0024456989933027E-2</v>
      </c>
      <c r="N56" s="45">
        <f t="shared" si="7"/>
        <v>10.024456989933027</v>
      </c>
      <c r="O56" s="45">
        <v>18.107999999999997</v>
      </c>
      <c r="P56" s="84">
        <f t="shared" si="8"/>
        <v>1005.9999999999998</v>
      </c>
      <c r="Q56" s="84">
        <f t="shared" si="9"/>
        <v>140.01391788448154</v>
      </c>
      <c r="R56" s="45">
        <v>-4.3432500000000012</v>
      </c>
      <c r="S56" s="45">
        <f t="shared" si="10"/>
        <v>-4.3432500000000008E-3</v>
      </c>
      <c r="T56" s="45">
        <f t="shared" si="11"/>
        <v>1.9669864466315408E-3</v>
      </c>
      <c r="U56" s="45">
        <f t="shared" si="12"/>
        <v>1.9669864466315408</v>
      </c>
      <c r="V56" s="45">
        <v>6.7670000000000004E-3</v>
      </c>
      <c r="W56" s="45">
        <f t="shared" si="13"/>
        <v>2.6498242363623753E-3</v>
      </c>
      <c r="X56" s="45">
        <f t="shared" si="14"/>
        <v>2.6498242363623752</v>
      </c>
      <c r="Y56" s="45">
        <v>7.1849999999999996</v>
      </c>
    </row>
    <row r="57" spans="1:25" x14ac:dyDescent="0.35">
      <c r="A57">
        <v>50</v>
      </c>
      <c r="B57" t="s">
        <v>104</v>
      </c>
      <c r="C57" s="45">
        <v>8.3754500000000007</v>
      </c>
      <c r="D57" s="45">
        <f t="shared" si="4"/>
        <v>0.56077613897082923</v>
      </c>
      <c r="E57" s="45">
        <f t="shared" si="15"/>
        <v>2.2004855693215339</v>
      </c>
      <c r="F57" s="45">
        <v>-14.8825</v>
      </c>
      <c r="G57" s="45">
        <f t="shared" si="5"/>
        <v>-1.48825E-2</v>
      </c>
      <c r="H57" s="45">
        <f t="shared" si="16"/>
        <v>40.884606066724736</v>
      </c>
      <c r="I57" s="45">
        <v>-4.4571428571428401E-3</v>
      </c>
      <c r="J57" s="45">
        <f t="shared" si="17"/>
        <v>1.7855718613853004E-3</v>
      </c>
      <c r="K57" s="45">
        <f t="shared" si="6"/>
        <v>1.7855718613853004</v>
      </c>
      <c r="L57" s="45">
        <v>-2.3599999999999999E-2</v>
      </c>
      <c r="M57" s="45">
        <f t="shared" si="18"/>
        <v>1.3536944714855564E-2</v>
      </c>
      <c r="N57" s="45">
        <f t="shared" si="7"/>
        <v>13.536944714855563</v>
      </c>
      <c r="O57" s="45">
        <v>9.2196500000000015</v>
      </c>
      <c r="P57" s="84">
        <f t="shared" si="8"/>
        <v>512.2027777777779</v>
      </c>
      <c r="Q57" s="84">
        <f t="shared" si="9"/>
        <v>104.42462340015858</v>
      </c>
      <c r="R57" s="45">
        <v>-6.9047499999999999</v>
      </c>
      <c r="S57" s="45">
        <f t="shared" si="10"/>
        <v>-6.9047500000000003E-3</v>
      </c>
      <c r="T57" s="45">
        <f t="shared" si="11"/>
        <v>4.5805988382440991E-3</v>
      </c>
      <c r="U57" s="45">
        <f t="shared" si="12"/>
        <v>4.5805988382440992</v>
      </c>
      <c r="V57" s="45">
        <v>1.0151E-2</v>
      </c>
      <c r="W57" s="45">
        <f t="shared" si="13"/>
        <v>5.8226070254448663E-3</v>
      </c>
      <c r="X57" s="45">
        <f t="shared" si="14"/>
        <v>5.8226070254448663</v>
      </c>
      <c r="Y57" s="45">
        <v>4.9050000000000002</v>
      </c>
    </row>
    <row r="58" spans="1:25" x14ac:dyDescent="0.35">
      <c r="A58">
        <v>51</v>
      </c>
      <c r="B58" t="s">
        <v>104</v>
      </c>
      <c r="C58" s="45">
        <v>7.5063499999999994</v>
      </c>
      <c r="D58" s="45">
        <f t="shared" si="4"/>
        <v>0.60635332677810561</v>
      </c>
      <c r="E58" s="45">
        <f t="shared" si="15"/>
        <v>2.7067612507374639</v>
      </c>
      <c r="F58" s="45">
        <v>-12.4575</v>
      </c>
      <c r="G58" s="45">
        <f t="shared" si="5"/>
        <v>-1.24575E-2</v>
      </c>
      <c r="H58" s="45">
        <f t="shared" si="16"/>
        <v>30.082895492274616</v>
      </c>
      <c r="I58" s="45">
        <v>7.1428571428571591E-3</v>
      </c>
      <c r="J58" s="45">
        <f t="shared" si="17"/>
        <v>-2.5153449763621657E-3</v>
      </c>
      <c r="K58" s="45">
        <f t="shared" si="6"/>
        <v>-2.5153449763621656</v>
      </c>
      <c r="L58" s="45">
        <v>-2.3155000000000002E-2</v>
      </c>
      <c r="M58" s="45">
        <f t="shared" si="18"/>
        <v>1.1675036591409376E-2</v>
      </c>
      <c r="N58" s="45">
        <f t="shared" si="7"/>
        <v>11.675036591409375</v>
      </c>
      <c r="O58" s="45">
        <v>9.8374500000000005</v>
      </c>
      <c r="P58" s="84">
        <f t="shared" si="8"/>
        <v>546.52499999999998</v>
      </c>
      <c r="Q58" s="84">
        <f t="shared" si="9"/>
        <v>97.943548387096769</v>
      </c>
      <c r="R58" s="45">
        <v>-4.8807500000000026</v>
      </c>
      <c r="S58" s="45">
        <f t="shared" si="10"/>
        <v>-4.8807500000000023E-3</v>
      </c>
      <c r="T58" s="45">
        <f t="shared" si="11"/>
        <v>2.8462017124651546E-3</v>
      </c>
      <c r="U58" s="45">
        <f t="shared" si="12"/>
        <v>2.8462017124651546</v>
      </c>
      <c r="V58" s="45">
        <v>1.5383500000000001E-2</v>
      </c>
      <c r="W58" s="45">
        <f t="shared" si="13"/>
        <v>7.7565504385206704E-3</v>
      </c>
      <c r="X58" s="45">
        <f t="shared" si="14"/>
        <v>7.7565504385206703</v>
      </c>
      <c r="Y58" s="45">
        <v>5.58</v>
      </c>
    </row>
    <row r="59" spans="1:25" x14ac:dyDescent="0.35">
      <c r="A59">
        <v>1</v>
      </c>
      <c r="B59" t="s">
        <v>105</v>
      </c>
      <c r="C59" s="45">
        <v>7.42875</v>
      </c>
      <c r="D59" s="45">
        <f t="shared" si="4"/>
        <v>0.61042281219272365</v>
      </c>
      <c r="E59" s="45">
        <f t="shared" si="15"/>
        <v>2.9520047197640116</v>
      </c>
      <c r="F59" s="45">
        <v>-11.738</v>
      </c>
      <c r="G59" s="45">
        <f t="shared" si="5"/>
        <v>-1.1738E-2</v>
      </c>
      <c r="H59" s="45">
        <f t="shared" si="16"/>
        <v>26.164999938003579</v>
      </c>
      <c r="I59" s="45">
        <v>1.1142857142857163E-2</v>
      </c>
      <c r="J59" s="45">
        <f t="shared" si="17"/>
        <v>-3.6220967659615173E-3</v>
      </c>
      <c r="K59" s="45">
        <f t="shared" si="6"/>
        <v>-3.6220967659615173</v>
      </c>
      <c r="L59" s="45">
        <v>-0.16364500000000001</v>
      </c>
      <c r="M59" s="45">
        <f t="shared" ref="M59:M90" si="19">(-L59*M$1*M$3)/(M$4*M$2*0.6*$Y59*10^-3)</f>
        <v>0.14507574044966431</v>
      </c>
      <c r="N59" s="81">
        <f t="shared" si="7"/>
        <v>145.07574044966432</v>
      </c>
      <c r="O59" s="45">
        <v>5.1715999999999998</v>
      </c>
      <c r="P59" s="84">
        <f>(O59*P$1*P$3)/(P$4*P$2*0.6*10^-3)</f>
        <v>574.62222222222215</v>
      </c>
      <c r="Q59" s="84">
        <f t="shared" si="9"/>
        <v>95.057439573568601</v>
      </c>
      <c r="R59" s="45">
        <v>-6.9092500000000001</v>
      </c>
      <c r="S59" s="45">
        <f t="shared" si="10"/>
        <v>-6.9092500000000005E-3</v>
      </c>
      <c r="T59" s="45">
        <f>(-S59*T$1*T$3)/(T$4*T$2*0.6*$Y59*10^-3)</f>
        <v>1.8595930652382266E-3</v>
      </c>
      <c r="U59" s="45">
        <f t="shared" si="12"/>
        <v>1.8595930652382267</v>
      </c>
      <c r="V59" s="45">
        <v>4.1950000000000008E-3</v>
      </c>
      <c r="W59" s="45">
        <f>(V59*W$1*W$3)/(W$4*W$2*0.6*$Y59*10^-3)</f>
        <v>1.9524652991098383E-3</v>
      </c>
      <c r="X59" s="45">
        <f t="shared" si="14"/>
        <v>1.9524652991098383</v>
      </c>
      <c r="Y59" s="45">
        <v>6.0449999999999999</v>
      </c>
    </row>
    <row r="60" spans="1:25" x14ac:dyDescent="0.35">
      <c r="A60">
        <v>2</v>
      </c>
      <c r="B60" t="s">
        <v>105</v>
      </c>
      <c r="C60" s="45">
        <v>7.4959500000000006</v>
      </c>
      <c r="D60" s="45">
        <f t="shared" si="4"/>
        <v>0.60689872173058013</v>
      </c>
      <c r="E60" s="45">
        <f t="shared" si="15"/>
        <v>5.0615353392330391</v>
      </c>
      <c r="F60" s="45">
        <v>-13.102</v>
      </c>
      <c r="G60" s="45">
        <f t="shared" si="5"/>
        <v>-1.3102000000000001E-2</v>
      </c>
      <c r="H60" s="45">
        <f t="shared" si="16"/>
        <v>16.934971477088165</v>
      </c>
      <c r="I60" s="45">
        <v>-0.10645714285714283</v>
      </c>
      <c r="J60" s="45">
        <f t="shared" si="17"/>
        <v>2.0065894918424466E-2</v>
      </c>
      <c r="K60" s="45">
        <f t="shared" si="6"/>
        <v>20.065894918424465</v>
      </c>
      <c r="L60" s="45">
        <v>-1.8419999999999999E-2</v>
      </c>
      <c r="M60" s="45">
        <f t="shared" si="19"/>
        <v>9.4689521694541461E-3</v>
      </c>
      <c r="N60" s="45">
        <f t="shared" si="7"/>
        <v>9.4689521694541465</v>
      </c>
      <c r="O60" s="45">
        <v>7.1029499999999999</v>
      </c>
      <c r="P60" s="84">
        <f t="shared" ref="P60:P109" si="20">(O60*P$1*P$3)/(P$4*P$2*0.6*10^-3)</f>
        <v>789.21666666666658</v>
      </c>
      <c r="Q60" s="84">
        <f t="shared" si="9"/>
        <v>75.704236610711419</v>
      </c>
      <c r="R60" s="45">
        <v>-11.585750000000001</v>
      </c>
      <c r="S60" s="45">
        <f t="shared" si="10"/>
        <v>-1.1585750000000001E-2</v>
      </c>
      <c r="T60" s="45">
        <f t="shared" ref="T60:T109" si="21">(-S60*T$1*T$3)/(T$4*T$2*0.6*$Y60*10^-3)</f>
        <v>1.8081372996840625E-3</v>
      </c>
      <c r="U60" s="45">
        <f t="shared" si="12"/>
        <v>1.8081372996840626</v>
      </c>
      <c r="V60" s="45">
        <v>4.8979999999999996E-2</v>
      </c>
      <c r="W60" s="45">
        <f t="shared" ref="W60:W109" si="22">(V60*W$1*W$3)/(W$4*W$2*0.6*$Y60*10^-3)</f>
        <v>1.3218749759035212E-2</v>
      </c>
      <c r="X60" s="45">
        <f t="shared" si="14"/>
        <v>13.218749759035212</v>
      </c>
      <c r="Y60" s="45">
        <v>10.425000000000001</v>
      </c>
    </row>
    <row r="61" spans="1:25" x14ac:dyDescent="0.35">
      <c r="A61">
        <v>3</v>
      </c>
      <c r="B61" t="s">
        <v>105</v>
      </c>
      <c r="C61" s="45">
        <v>8.9126499999999993</v>
      </c>
      <c r="D61" s="45">
        <f t="shared" si="4"/>
        <v>0.53260439200262222</v>
      </c>
      <c r="E61" s="45">
        <f t="shared" si="15"/>
        <v>4.3971818603736486</v>
      </c>
      <c r="F61" s="45">
        <v>-15.212</v>
      </c>
      <c r="G61" s="45">
        <f t="shared" si="5"/>
        <v>-1.5212E-2</v>
      </c>
      <c r="H61" s="45">
        <f t="shared" si="16"/>
        <v>19.862300929788628</v>
      </c>
      <c r="I61" s="45">
        <v>3.3142857142857161E-2</v>
      </c>
      <c r="J61" s="45">
        <f t="shared" si="17"/>
        <v>-6.3105910709290699E-3</v>
      </c>
      <c r="K61" s="45">
        <f t="shared" si="6"/>
        <v>-6.3105910709290702</v>
      </c>
      <c r="L61" s="45">
        <v>-2.4324999999999999E-2</v>
      </c>
      <c r="M61" s="45">
        <f t="shared" si="19"/>
        <v>1.2631691550969201E-2</v>
      </c>
      <c r="N61" s="45">
        <f t="shared" si="7"/>
        <v>12.631691550969201</v>
      </c>
      <c r="O61" s="45">
        <v>8.638300000000001</v>
      </c>
      <c r="P61" s="84">
        <f t="shared" si="20"/>
        <v>959.81111111111125</v>
      </c>
      <c r="Q61" s="84">
        <f t="shared" si="9"/>
        <v>93.004952627045682</v>
      </c>
      <c r="R61" s="45">
        <v>-8.5637499999999989</v>
      </c>
      <c r="S61" s="45">
        <f t="shared" si="10"/>
        <v>-8.5637499999999984E-3</v>
      </c>
      <c r="T61" s="45">
        <f t="shared" si="21"/>
        <v>1.3501051664205734E-3</v>
      </c>
      <c r="U61" s="45">
        <f t="shared" si="12"/>
        <v>1.3501051664205734</v>
      </c>
      <c r="V61" s="45">
        <v>4.1590000000000002E-2</v>
      </c>
      <c r="W61" s="45">
        <f t="shared" si="22"/>
        <v>1.1338533487873578E-2</v>
      </c>
      <c r="X61" s="45">
        <f t="shared" si="14"/>
        <v>11.338533487873578</v>
      </c>
      <c r="Y61" s="45">
        <v>10.319999999999999</v>
      </c>
    </row>
    <row r="62" spans="1:25" x14ac:dyDescent="0.35">
      <c r="A62">
        <v>4</v>
      </c>
      <c r="B62" t="s">
        <v>105</v>
      </c>
      <c r="C62" s="45">
        <v>6.2662999999999993</v>
      </c>
      <c r="D62" s="45">
        <f t="shared" si="4"/>
        <v>0.67138380858734847</v>
      </c>
      <c r="E62" s="45">
        <f t="shared" si="15"/>
        <v>4.6728313077679458</v>
      </c>
      <c r="F62" s="45">
        <v>-16.610999999999997</v>
      </c>
      <c r="G62" s="45">
        <f t="shared" si="5"/>
        <v>-1.6610999999999997E-2</v>
      </c>
      <c r="H62" s="45">
        <f t="shared" si="16"/>
        <v>25.727611181776464</v>
      </c>
      <c r="I62" s="45">
        <v>-0.14125714285714283</v>
      </c>
      <c r="J62" s="45">
        <f t="shared" si="17"/>
        <v>3.1904427513696827E-2</v>
      </c>
      <c r="K62" s="45">
        <f t="shared" si="6"/>
        <v>31.904427513696827</v>
      </c>
      <c r="L62" s="45">
        <v>-2.7890000000000002E-2</v>
      </c>
      <c r="M62" s="45">
        <f t="shared" si="19"/>
        <v>1.7179780956252846E-2</v>
      </c>
      <c r="N62" s="45">
        <f t="shared" si="7"/>
        <v>17.179780956252845</v>
      </c>
      <c r="O62" s="45">
        <v>9.3584999999999994</v>
      </c>
      <c r="P62" s="84">
        <f t="shared" si="20"/>
        <v>1039.8333333333333</v>
      </c>
      <c r="Q62" s="84">
        <f t="shared" si="9"/>
        <v>119.52107279693485</v>
      </c>
      <c r="R62" s="45">
        <v>-11.534750000000003</v>
      </c>
      <c r="S62" s="45">
        <f t="shared" si="10"/>
        <v>-1.1534750000000003E-2</v>
      </c>
      <c r="T62" s="45">
        <f t="shared" si="21"/>
        <v>2.1571097883597884E-3</v>
      </c>
      <c r="U62" s="45">
        <f t="shared" si="12"/>
        <v>2.1571097883597883</v>
      </c>
      <c r="V62" s="45">
        <v>8.1020000000000009E-2</v>
      </c>
      <c r="W62" s="45">
        <f t="shared" si="22"/>
        <v>2.6201167904793581E-2</v>
      </c>
      <c r="X62" s="45">
        <f t="shared" si="14"/>
        <v>26.201167904793582</v>
      </c>
      <c r="Y62" s="45">
        <v>8.7000000000000011</v>
      </c>
    </row>
    <row r="63" spans="1:25" x14ac:dyDescent="0.35">
      <c r="A63">
        <v>5</v>
      </c>
      <c r="B63" t="s">
        <v>105</v>
      </c>
      <c r="C63" s="45">
        <v>6.4006500000000006</v>
      </c>
      <c r="D63" s="45">
        <f t="shared" si="4"/>
        <v>0.66433824975417899</v>
      </c>
      <c r="E63" s="45">
        <f t="shared" si="15"/>
        <v>4.7672912802359884</v>
      </c>
      <c r="F63" s="45">
        <v>-16.356499999999997</v>
      </c>
      <c r="G63" s="45">
        <f t="shared" si="5"/>
        <v>-1.6356499999999996E-2</v>
      </c>
      <c r="H63" s="45">
        <f t="shared" si="16"/>
        <v>24.570889170928716</v>
      </c>
      <c r="I63" s="45">
        <v>2.5142857142857161E-2</v>
      </c>
      <c r="J63" s="45">
        <f t="shared" si="17"/>
        <v>-5.5078483709827247E-3</v>
      </c>
      <c r="K63" s="45">
        <f t="shared" si="6"/>
        <v>-5.5078483709827246</v>
      </c>
      <c r="L63" s="45">
        <v>-1.542E-2</v>
      </c>
      <c r="M63" s="45">
        <f t="shared" si="19"/>
        <v>9.2125591915889708E-3</v>
      </c>
      <c r="N63" s="45">
        <f t="shared" si="7"/>
        <v>9.2125591915889711</v>
      </c>
      <c r="O63" s="45">
        <v>9.7741499999999988</v>
      </c>
      <c r="P63" s="84">
        <f t="shared" si="20"/>
        <v>1086.0166666666664</v>
      </c>
      <c r="Q63" s="84">
        <f t="shared" si="9"/>
        <v>121.07209215904867</v>
      </c>
      <c r="R63" s="45">
        <v>-9.0647500000000001</v>
      </c>
      <c r="S63" s="45">
        <f t="shared" si="10"/>
        <v>-9.0647499999999999E-3</v>
      </c>
      <c r="T63" s="45">
        <f t="shared" si="21"/>
        <v>1.6441699403655927E-3</v>
      </c>
      <c r="U63" s="45">
        <f t="shared" si="12"/>
        <v>1.6441699403655927</v>
      </c>
      <c r="V63" s="45">
        <v>1.5865000000000001E-2</v>
      </c>
      <c r="W63" s="45">
        <f t="shared" si="22"/>
        <v>4.9761710166435465E-3</v>
      </c>
      <c r="X63" s="45">
        <f t="shared" si="14"/>
        <v>4.9761710166435469</v>
      </c>
      <c r="Y63" s="45">
        <v>8.9699999999999989</v>
      </c>
    </row>
    <row r="64" spans="1:25" x14ac:dyDescent="0.35">
      <c r="A64">
        <v>6</v>
      </c>
      <c r="B64" t="s">
        <v>105</v>
      </c>
      <c r="C64" s="45">
        <v>6.4361499999999996</v>
      </c>
      <c r="D64" s="45">
        <f t="shared" si="4"/>
        <v>0.6624765650606359</v>
      </c>
      <c r="E64" s="45">
        <f t="shared" si="15"/>
        <v>5.0003731130776803</v>
      </c>
      <c r="F64" s="45">
        <v>-16.442</v>
      </c>
      <c r="G64" s="45">
        <f t="shared" si="5"/>
        <v>-1.6442000000000002E-2</v>
      </c>
      <c r="H64" s="45">
        <f t="shared" si="16"/>
        <v>23.482032101953038</v>
      </c>
      <c r="I64" s="45">
        <v>1.5892857142857167E-2</v>
      </c>
      <c r="J64" s="45">
        <f t="shared" si="17"/>
        <v>-3.3099380555404812E-3</v>
      </c>
      <c r="K64" s="45">
        <f t="shared" si="6"/>
        <v>-3.3099380555404814</v>
      </c>
      <c r="L64" s="45">
        <v>-4.1309999999999999E-2</v>
      </c>
      <c r="M64" s="45">
        <f t="shared" si="19"/>
        <v>2.3463978447901275E-2</v>
      </c>
      <c r="N64" s="45">
        <f t="shared" si="7"/>
        <v>23.463978447901276</v>
      </c>
      <c r="O64" s="45">
        <v>9.6752000000000002</v>
      </c>
      <c r="P64" s="84">
        <f t="shared" si="20"/>
        <v>1075.0222222222221</v>
      </c>
      <c r="Q64" s="84">
        <f t="shared" si="9"/>
        <v>113.93982217511628</v>
      </c>
      <c r="R64" s="45">
        <v>-13.007750000000001</v>
      </c>
      <c r="S64" s="45">
        <f t="shared" si="10"/>
        <v>-1.3007750000000002E-2</v>
      </c>
      <c r="T64" s="45">
        <f t="shared" si="21"/>
        <v>2.2430739563092509E-3</v>
      </c>
      <c r="U64" s="45">
        <f t="shared" si="12"/>
        <v>2.2430739563092508</v>
      </c>
      <c r="V64" s="45">
        <v>6.9790000000000005E-2</v>
      </c>
      <c r="W64" s="45">
        <f t="shared" si="22"/>
        <v>2.0811287928745842E-2</v>
      </c>
      <c r="X64" s="45">
        <f t="shared" si="14"/>
        <v>20.811287928745841</v>
      </c>
      <c r="Y64" s="45">
        <v>9.4350000000000005</v>
      </c>
    </row>
    <row r="65" spans="1:25" x14ac:dyDescent="0.35">
      <c r="A65">
        <v>7</v>
      </c>
      <c r="B65" t="s">
        <v>105</v>
      </c>
      <c r="C65" s="45">
        <v>6.8901000000000003</v>
      </c>
      <c r="D65" s="45">
        <f t="shared" si="4"/>
        <v>0.63867059980334318</v>
      </c>
      <c r="E65" s="45">
        <f t="shared" si="15"/>
        <v>4.3148585722713859</v>
      </c>
      <c r="F65" s="45">
        <v>-14.8765</v>
      </c>
      <c r="G65" s="45">
        <f t="shared" si="5"/>
        <v>-1.4876500000000001E-2</v>
      </c>
      <c r="H65" s="45">
        <f t="shared" si="16"/>
        <v>23.736902764202746</v>
      </c>
      <c r="I65" s="45">
        <v>2.8172857142857159E-2</v>
      </c>
      <c r="J65" s="45">
        <f t="shared" si="17"/>
        <v>-6.5552767316972675E-3</v>
      </c>
      <c r="K65" s="45">
        <f t="shared" si="6"/>
        <v>-6.5552767316972673</v>
      </c>
      <c r="L65" s="45">
        <v>-2.5454999999999998E-2</v>
      </c>
      <c r="M65" s="45">
        <f t="shared" si="19"/>
        <v>1.6153320425906992E-2</v>
      </c>
      <c r="N65" s="45">
        <f t="shared" si="7"/>
        <v>16.153320425906994</v>
      </c>
      <c r="O65" s="45">
        <v>9.0300499999999992</v>
      </c>
      <c r="P65" s="84">
        <f t="shared" si="20"/>
        <v>1003.3388888888887</v>
      </c>
      <c r="Q65" s="84">
        <f t="shared" si="9"/>
        <v>118.8086310111177</v>
      </c>
      <c r="R65" s="45">
        <v>-13.988250000000001</v>
      </c>
      <c r="S65" s="45">
        <f t="shared" si="10"/>
        <v>-1.3988250000000001E-2</v>
      </c>
      <c r="T65" s="45">
        <f t="shared" si="21"/>
        <v>2.694927260424597E-3</v>
      </c>
      <c r="U65" s="45">
        <f t="shared" si="12"/>
        <v>2.6949272604245968</v>
      </c>
      <c r="V65" s="45">
        <v>5.2875000000000005E-2</v>
      </c>
      <c r="W65" s="45">
        <f t="shared" si="22"/>
        <v>1.7615638546372502E-2</v>
      </c>
      <c r="X65" s="45">
        <f t="shared" si="14"/>
        <v>17.615638546372502</v>
      </c>
      <c r="Y65" s="45">
        <v>8.4449999999999985</v>
      </c>
    </row>
    <row r="66" spans="1:25" x14ac:dyDescent="0.35">
      <c r="A66">
        <v>8</v>
      </c>
      <c r="B66" t="s">
        <v>105</v>
      </c>
      <c r="C66" s="45">
        <v>8.5624000000000002</v>
      </c>
      <c r="D66" s="45">
        <f t="shared" si="4"/>
        <v>0.5509721402818748</v>
      </c>
      <c r="E66" s="45">
        <f t="shared" si="15"/>
        <v>4.3108060255653893</v>
      </c>
      <c r="F66" s="45">
        <v>-11.349500000000001</v>
      </c>
      <c r="G66" s="45">
        <f t="shared" si="5"/>
        <v>-1.13495E-2</v>
      </c>
      <c r="H66" s="45">
        <f t="shared" si="16"/>
        <v>15.637265589990058</v>
      </c>
      <c r="I66" s="45">
        <v>3.9428571428571646E-3</v>
      </c>
      <c r="J66" s="45">
        <f t="shared" si="17"/>
        <v>-7.9219478347563525E-4</v>
      </c>
      <c r="K66" s="45">
        <f t="shared" si="6"/>
        <v>-0.79219478347563521</v>
      </c>
      <c r="L66" s="45">
        <v>-4.1800000000000004E-2</v>
      </c>
      <c r="M66" s="45">
        <f t="shared" si="19"/>
        <v>2.2904762217882374E-2</v>
      </c>
      <c r="N66" s="45">
        <f t="shared" si="7"/>
        <v>22.904762217882375</v>
      </c>
      <c r="O66" s="45">
        <v>4.5006000000000004</v>
      </c>
      <c r="P66" s="84">
        <f t="shared" si="20"/>
        <v>500.06666666666672</v>
      </c>
      <c r="Q66" s="84">
        <f t="shared" si="9"/>
        <v>51.131561008861624</v>
      </c>
      <c r="R66" s="45">
        <v>-10.033750000000001</v>
      </c>
      <c r="S66" s="45">
        <f t="shared" si="10"/>
        <v>-1.0033750000000001E-2</v>
      </c>
      <c r="T66" s="45">
        <f t="shared" si="21"/>
        <v>1.6691975443892623E-3</v>
      </c>
      <c r="U66" s="45">
        <f t="shared" si="12"/>
        <v>1.6691975443892624</v>
      </c>
      <c r="V66" s="45">
        <v>4.9049999999999996E-2</v>
      </c>
      <c r="W66" s="45">
        <f t="shared" si="22"/>
        <v>1.4110676030221132E-2</v>
      </c>
      <c r="X66" s="45">
        <f t="shared" si="14"/>
        <v>14.110676030221132</v>
      </c>
      <c r="Y66" s="45">
        <v>9.7800000000000011</v>
      </c>
    </row>
    <row r="67" spans="1:25" x14ac:dyDescent="0.35">
      <c r="A67">
        <v>9</v>
      </c>
      <c r="B67" t="s">
        <v>105</v>
      </c>
      <c r="C67" s="45">
        <v>7.5874000000000006</v>
      </c>
      <c r="D67" s="45">
        <f t="shared" si="4"/>
        <v>0.60210291707636843</v>
      </c>
      <c r="E67" s="45">
        <f t="shared" si="15"/>
        <v>4.9565112133726643</v>
      </c>
      <c r="F67" s="45">
        <v>-26.097999999999999</v>
      </c>
      <c r="G67" s="45">
        <f t="shared" si="5"/>
        <v>-2.6098E-2</v>
      </c>
      <c r="H67" s="45">
        <f t="shared" si="16"/>
        <v>34.175493147763213</v>
      </c>
      <c r="I67" s="45">
        <v>-2.5157142857142836E-2</v>
      </c>
      <c r="J67" s="45">
        <f t="shared" si="17"/>
        <v>4.8040302368951571E-3</v>
      </c>
      <c r="K67" s="45">
        <f t="shared" si="6"/>
        <v>4.8040302368951568</v>
      </c>
      <c r="L67" s="45">
        <v>-1.924E-2</v>
      </c>
      <c r="M67" s="45">
        <f t="shared" si="19"/>
        <v>1.002023838167942E-2</v>
      </c>
      <c r="N67" s="45">
        <f t="shared" si="7"/>
        <v>10.02023838167942</v>
      </c>
      <c r="O67" s="45">
        <v>14.196999999999999</v>
      </c>
      <c r="P67" s="84">
        <f t="shared" si="20"/>
        <v>1577.4444444444441</v>
      </c>
      <c r="Q67" s="84">
        <f t="shared" si="9"/>
        <v>153.29877982939206</v>
      </c>
      <c r="R67" s="45">
        <v>-8.8772500000000036</v>
      </c>
      <c r="S67" s="45">
        <f t="shared" si="10"/>
        <v>-8.8772500000000032E-3</v>
      </c>
      <c r="T67" s="45">
        <f t="shared" si="21"/>
        <v>1.4036097999290426E-3</v>
      </c>
      <c r="U67" s="45">
        <f t="shared" si="12"/>
        <v>1.4036097999290427</v>
      </c>
      <c r="V67" s="45">
        <v>1.8950000000000002E-2</v>
      </c>
      <c r="W67" s="45">
        <f t="shared" si="22"/>
        <v>5.1813329833541137E-3</v>
      </c>
      <c r="X67" s="45">
        <f t="shared" si="14"/>
        <v>5.181332983354114</v>
      </c>
      <c r="Y67" s="45">
        <v>10.29</v>
      </c>
    </row>
    <row r="68" spans="1:25" x14ac:dyDescent="0.35">
      <c r="A68">
        <v>10</v>
      </c>
      <c r="B68" t="s">
        <v>105</v>
      </c>
      <c r="C68" s="45">
        <v>9.4665999999999997</v>
      </c>
      <c r="D68" s="45">
        <f t="shared" si="4"/>
        <v>0.50355424450999675</v>
      </c>
      <c r="E68" s="45">
        <f t="shared" si="15"/>
        <v>3.6497611642084569</v>
      </c>
      <c r="F68" s="45">
        <v>-18.328499999999998</v>
      </c>
      <c r="G68" s="45">
        <f t="shared" si="5"/>
        <v>-1.8328499999999998E-2</v>
      </c>
      <c r="H68" s="45">
        <f t="shared" si="16"/>
        <v>27.259737174102913</v>
      </c>
      <c r="I68" s="45">
        <v>-3.3757142857142833E-2</v>
      </c>
      <c r="J68" s="45">
        <f t="shared" si="17"/>
        <v>7.321452935898959E-3</v>
      </c>
      <c r="K68" s="45">
        <f t="shared" si="6"/>
        <v>7.3214529358989591</v>
      </c>
      <c r="L68" s="45">
        <v>-1.422E-2</v>
      </c>
      <c r="M68" s="45">
        <f t="shared" si="19"/>
        <v>8.4112348544536936E-3</v>
      </c>
      <c r="N68" s="45">
        <f t="shared" si="7"/>
        <v>8.4112348544536939</v>
      </c>
      <c r="O68" s="45">
        <v>14.2315</v>
      </c>
      <c r="P68" s="84">
        <f t="shared" si="20"/>
        <v>1581.2777777777778</v>
      </c>
      <c r="Q68" s="84">
        <f t="shared" si="9"/>
        <v>174.53397105714987</v>
      </c>
      <c r="R68" s="45">
        <v>-10.385249999999999</v>
      </c>
      <c r="S68" s="45">
        <f t="shared" si="10"/>
        <v>-1.0385249999999999E-2</v>
      </c>
      <c r="T68" s="45">
        <f t="shared" si="21"/>
        <v>1.8649709607904969E-3</v>
      </c>
      <c r="U68" s="45">
        <f t="shared" si="12"/>
        <v>1.864970960790497</v>
      </c>
      <c r="V68" s="45">
        <v>1.669E-2</v>
      </c>
      <c r="W68" s="45">
        <f t="shared" si="22"/>
        <v>5.1829354854737615E-3</v>
      </c>
      <c r="X68" s="45">
        <f t="shared" si="14"/>
        <v>5.1829354854737613</v>
      </c>
      <c r="Y68" s="45">
        <v>9.06</v>
      </c>
    </row>
    <row r="69" spans="1:25" x14ac:dyDescent="0.35">
      <c r="A69">
        <v>11</v>
      </c>
      <c r="B69" t="s">
        <v>105</v>
      </c>
      <c r="C69" s="45">
        <v>6.8317999999999994</v>
      </c>
      <c r="D69" s="45">
        <f t="shared" si="4"/>
        <v>0.64172795804654215</v>
      </c>
      <c r="E69" s="45">
        <f t="shared" si="15"/>
        <v>4.4972295299901681</v>
      </c>
      <c r="F69" s="45">
        <v>-18.183999999999997</v>
      </c>
      <c r="G69" s="45">
        <f t="shared" si="5"/>
        <v>-1.8183999999999999E-2</v>
      </c>
      <c r="H69" s="45">
        <f t="shared" si="16"/>
        <v>27.971016833525223</v>
      </c>
      <c r="I69" s="45">
        <v>-1.1357142857142843E-2</v>
      </c>
      <c r="J69" s="45">
        <f t="shared" si="17"/>
        <v>2.5475620661278907E-3</v>
      </c>
      <c r="K69" s="45">
        <f t="shared" si="6"/>
        <v>2.5475620661278908</v>
      </c>
      <c r="L69" s="45">
        <v>-2.5835000000000004E-2</v>
      </c>
      <c r="M69" s="45">
        <f t="shared" si="19"/>
        <v>1.5804935226377326E-2</v>
      </c>
      <c r="N69" s="45">
        <f t="shared" si="7"/>
        <v>15.804935226377326</v>
      </c>
      <c r="O69" s="45">
        <v>21.353000000000002</v>
      </c>
      <c r="P69" s="84">
        <f t="shared" si="20"/>
        <v>2372.5555555555557</v>
      </c>
      <c r="Q69" s="84">
        <f t="shared" si="9"/>
        <v>270.83967529173003</v>
      </c>
      <c r="R69" s="45">
        <v>-12.523250000000001</v>
      </c>
      <c r="S69" s="45">
        <f t="shared" si="10"/>
        <v>-1.2523250000000001E-2</v>
      </c>
      <c r="T69" s="45">
        <f t="shared" si="21"/>
        <v>2.3259279644125531E-3</v>
      </c>
      <c r="U69" s="45">
        <f t="shared" si="12"/>
        <v>2.325927964412553</v>
      </c>
      <c r="V69" s="45">
        <v>1.5900000000000001E-2</v>
      </c>
      <c r="W69" s="45">
        <f t="shared" si="22"/>
        <v>5.106703959829097E-3</v>
      </c>
      <c r="X69" s="45">
        <f t="shared" si="14"/>
        <v>5.1067039598290966</v>
      </c>
      <c r="Y69" s="45">
        <v>8.7600000000000016</v>
      </c>
    </row>
    <row r="70" spans="1:25" x14ac:dyDescent="0.35">
      <c r="A70">
        <v>12</v>
      </c>
      <c r="B70" t="s">
        <v>105</v>
      </c>
      <c r="C70" s="45">
        <v>6.82395</v>
      </c>
      <c r="D70" s="45">
        <f t="shared" si="4"/>
        <v>0.64213962635201571</v>
      </c>
      <c r="E70" s="45">
        <f t="shared" si="15"/>
        <v>5.8023736637168133</v>
      </c>
      <c r="F70" s="45">
        <v>-18.045999999999999</v>
      </c>
      <c r="G70" s="45">
        <f t="shared" si="5"/>
        <v>-1.8046E-2</v>
      </c>
      <c r="H70" s="45">
        <f t="shared" si="16"/>
        <v>21.528692558570018</v>
      </c>
      <c r="I70" s="45">
        <v>1.5762857142857162E-2</v>
      </c>
      <c r="J70" s="45">
        <f t="shared" si="17"/>
        <v>-2.7422591571142096E-3</v>
      </c>
      <c r="K70" s="45">
        <f t="shared" si="6"/>
        <v>-2.7422591571142094</v>
      </c>
      <c r="L70" s="45">
        <v>-2.6529999999999998E-2</v>
      </c>
      <c r="M70" s="45">
        <f t="shared" si="19"/>
        <v>1.2587496862615037E-2</v>
      </c>
      <c r="N70" s="45">
        <f t="shared" si="7"/>
        <v>12.587496862615037</v>
      </c>
      <c r="O70" s="45">
        <v>8.8832500000000003</v>
      </c>
      <c r="P70" s="84">
        <f t="shared" si="20"/>
        <v>987.02777777777783</v>
      </c>
      <c r="Q70" s="84">
        <f t="shared" si="9"/>
        <v>87.386257439378298</v>
      </c>
      <c r="R70" s="45">
        <v>-14.890750000000004</v>
      </c>
      <c r="S70" s="45">
        <f t="shared" si="10"/>
        <v>-1.4890750000000005E-2</v>
      </c>
      <c r="T70" s="45">
        <f t="shared" si="21"/>
        <v>2.1449326152181403E-3</v>
      </c>
      <c r="U70" s="45">
        <f t="shared" si="12"/>
        <v>2.1449326152181403</v>
      </c>
      <c r="V70" s="45">
        <v>2.0379999999999999E-2</v>
      </c>
      <c r="W70" s="45">
        <f t="shared" si="22"/>
        <v>5.0765142360177009E-3</v>
      </c>
      <c r="X70" s="45">
        <f t="shared" si="14"/>
        <v>5.0765142360177009</v>
      </c>
      <c r="Y70" s="45">
        <v>11.295</v>
      </c>
    </row>
    <row r="71" spans="1:25" x14ac:dyDescent="0.35">
      <c r="A71">
        <v>13</v>
      </c>
      <c r="B71" t="s">
        <v>105</v>
      </c>
      <c r="C71" s="45">
        <v>7.2577999999999996</v>
      </c>
      <c r="D71" s="45">
        <f t="shared" si="4"/>
        <v>0.619387741724025</v>
      </c>
      <c r="E71" s="45">
        <f t="shared" si="15"/>
        <v>5.225154989183876</v>
      </c>
      <c r="F71" s="45">
        <v>-17.376000000000001</v>
      </c>
      <c r="G71" s="45">
        <f t="shared" si="5"/>
        <v>-1.7376000000000003E-2</v>
      </c>
      <c r="H71" s="45">
        <f t="shared" si="16"/>
        <v>22.203741466527035</v>
      </c>
      <c r="I71" s="45">
        <v>-1.7557142857142841E-2</v>
      </c>
      <c r="J71" s="45">
        <f t="shared" si="17"/>
        <v>3.2716516047028789E-3</v>
      </c>
      <c r="K71" s="45">
        <f t="shared" si="6"/>
        <v>3.2716516047028787</v>
      </c>
      <c r="L71" s="45">
        <v>-3.2164999999999999E-2</v>
      </c>
      <c r="M71" s="45">
        <f t="shared" si="19"/>
        <v>1.6346520831205205E-2</v>
      </c>
      <c r="N71" s="45">
        <f t="shared" si="7"/>
        <v>16.346520831205204</v>
      </c>
      <c r="O71" s="45">
        <v>18.097000000000001</v>
      </c>
      <c r="P71" s="84">
        <f t="shared" si="20"/>
        <v>2010.7777777777778</v>
      </c>
      <c r="Q71" s="84">
        <f t="shared" si="9"/>
        <v>190.68542226436961</v>
      </c>
      <c r="R71" s="45">
        <v>-14.091250000000002</v>
      </c>
      <c r="S71" s="45">
        <f t="shared" si="10"/>
        <v>-1.4091250000000003E-2</v>
      </c>
      <c r="T71" s="45">
        <f t="shared" si="21"/>
        <v>2.1741337201863519E-3</v>
      </c>
      <c r="U71" s="45">
        <f t="shared" si="12"/>
        <v>2.1741337201863518</v>
      </c>
      <c r="V71" s="45">
        <v>6.6270000000000001E-3</v>
      </c>
      <c r="W71" s="45">
        <f t="shared" si="22"/>
        <v>1.7681457053601234E-3</v>
      </c>
      <c r="X71" s="45">
        <f t="shared" si="14"/>
        <v>1.7681457053601235</v>
      </c>
      <c r="Y71" s="45">
        <v>10.545000000000002</v>
      </c>
    </row>
    <row r="72" spans="1:25" x14ac:dyDescent="0.35">
      <c r="A72">
        <v>14</v>
      </c>
      <c r="B72" t="s">
        <v>105</v>
      </c>
      <c r="C72" s="45">
        <v>7.4283999999999999</v>
      </c>
      <c r="D72" s="45">
        <f t="shared" si="4"/>
        <v>0.61044116683054739</v>
      </c>
      <c r="E72" s="45">
        <f t="shared" ref="E72:E103" si="23">(D72/0.5)*($C$3/$C$2*Y72)</f>
        <v>4.7394652192723701</v>
      </c>
      <c r="F72" s="45">
        <v>-18.321999999999999</v>
      </c>
      <c r="G72" s="45">
        <f t="shared" si="5"/>
        <v>-1.8321999999999998E-2</v>
      </c>
      <c r="H72" s="45">
        <f t="shared" ref="H72:H103" si="24">(-G72*$F$1*$F$3)/($F$4*$F$2*0.6*Y72*10^-3)</f>
        <v>25.439014165307945</v>
      </c>
      <c r="I72" s="45">
        <v>-3.3157142857142843E-2</v>
      </c>
      <c r="J72" s="45">
        <f t="shared" ref="J72:J103" si="25">(-I72*I$1*I$3)/(I$4*I$2*0.6*$Y72*10^-3)</f>
        <v>6.7133818755202596E-3</v>
      </c>
      <c r="K72" s="45">
        <f t="shared" si="6"/>
        <v>6.7133818755202599</v>
      </c>
      <c r="L72" s="45">
        <v>-5.0619999999999998E-2</v>
      </c>
      <c r="M72" s="45">
        <f t="shared" si="19"/>
        <v>2.795213348993596E-2</v>
      </c>
      <c r="N72" s="45">
        <f t="shared" si="7"/>
        <v>27.95213348993596</v>
      </c>
      <c r="O72" s="45">
        <v>6.9963999999999995</v>
      </c>
      <c r="P72" s="84">
        <f t="shared" si="20"/>
        <v>777.37777777777774</v>
      </c>
      <c r="Q72" s="84">
        <f t="shared" si="9"/>
        <v>80.100749899822532</v>
      </c>
      <c r="R72" s="45">
        <v>-11.997750000000003</v>
      </c>
      <c r="S72" s="45">
        <f t="shared" si="10"/>
        <v>-1.1997750000000003E-2</v>
      </c>
      <c r="T72" s="45">
        <f t="shared" si="21"/>
        <v>2.0113496970143034E-3</v>
      </c>
      <c r="U72" s="45">
        <f t="shared" si="12"/>
        <v>2.0113496970143032</v>
      </c>
      <c r="V72" s="45">
        <v>9.2929999999999992E-3</v>
      </c>
      <c r="W72" s="45">
        <f t="shared" si="22"/>
        <v>2.6940649481239989E-3</v>
      </c>
      <c r="X72" s="45">
        <f t="shared" si="14"/>
        <v>2.6940649481239989</v>
      </c>
      <c r="Y72" s="45">
        <v>9.7050000000000001</v>
      </c>
    </row>
    <row r="73" spans="1:25" x14ac:dyDescent="0.35">
      <c r="A73">
        <v>15</v>
      </c>
      <c r="B73" t="s">
        <v>105</v>
      </c>
      <c r="C73" s="45">
        <v>8.5852500000000003</v>
      </c>
      <c r="D73" s="45">
        <f t="shared" ref="D73:D109" si="26">($C$6-C73)/$C$6</f>
        <v>0.54977384464110135</v>
      </c>
      <c r="E73" s="45">
        <f t="shared" si="23"/>
        <v>4.4069871386430695</v>
      </c>
      <c r="F73" s="45">
        <v>-18.927999999999997</v>
      </c>
      <c r="G73" s="45">
        <f t="shared" ref="G73:G109" si="27">F73/1000</f>
        <v>-1.8927999999999997E-2</v>
      </c>
      <c r="H73" s="45">
        <f t="shared" si="24"/>
        <v>25.454228817083699</v>
      </c>
      <c r="I73" s="45">
        <v>-4.8257142857142832E-2</v>
      </c>
      <c r="J73" s="45">
        <f t="shared" si="25"/>
        <v>9.4635411461566152E-3</v>
      </c>
      <c r="K73" s="45">
        <f t="shared" ref="K73:K109" si="28">J73*1000</f>
        <v>9.463541146156615</v>
      </c>
      <c r="L73" s="45">
        <v>-2.3495000000000002E-2</v>
      </c>
      <c r="M73" s="45">
        <f t="shared" si="19"/>
        <v>1.256597202165872E-2</v>
      </c>
      <c r="N73" s="45">
        <f t="shared" ref="N73:N109" si="29">M73*1000</f>
        <v>12.56597202165872</v>
      </c>
      <c r="O73" s="45">
        <v>12.328600000000002</v>
      </c>
      <c r="P73" s="84">
        <f t="shared" si="20"/>
        <v>1369.8444444444447</v>
      </c>
      <c r="Q73" s="84">
        <f t="shared" ref="Q73:Q109" si="30">P73/Y73</f>
        <v>136.71102239964515</v>
      </c>
      <c r="R73" s="45">
        <v>-16.437249999999999</v>
      </c>
      <c r="S73" s="45">
        <f t="shared" ref="S73:S109" si="31">R73/1000</f>
        <v>-1.643725E-2</v>
      </c>
      <c r="T73" s="45">
        <f t="shared" si="21"/>
        <v>2.668976531064854E-3</v>
      </c>
      <c r="U73" s="45">
        <f t="shared" ref="U73:U109" si="32">T73*1000</f>
        <v>2.6689765310648541</v>
      </c>
      <c r="V73" s="45">
        <v>1.0319999999999999E-2</v>
      </c>
      <c r="W73" s="45">
        <f t="shared" si="22"/>
        <v>2.8977414945029548E-3</v>
      </c>
      <c r="X73" s="45">
        <f t="shared" ref="X73:X109" si="33">W73*1000</f>
        <v>2.8977414945029549</v>
      </c>
      <c r="Y73" s="45">
        <v>10.020000000000001</v>
      </c>
    </row>
    <row r="74" spans="1:25" x14ac:dyDescent="0.35">
      <c r="A74">
        <v>16</v>
      </c>
      <c r="B74" t="s">
        <v>105</v>
      </c>
      <c r="C74" s="45">
        <v>6.2420499999999999</v>
      </c>
      <c r="D74" s="45">
        <f t="shared" si="26"/>
        <v>0.67265552277941665</v>
      </c>
      <c r="E74" s="45">
        <f t="shared" si="23"/>
        <v>6.7803676696165196</v>
      </c>
      <c r="F74" s="45">
        <v>-17.875500000000002</v>
      </c>
      <c r="G74" s="45">
        <f t="shared" si="27"/>
        <v>-1.7875500000000002E-2</v>
      </c>
      <c r="H74" s="45">
        <f t="shared" si="24"/>
        <v>19.116597287390622</v>
      </c>
      <c r="I74" s="45">
        <v>-2.1757142857142836E-2</v>
      </c>
      <c r="J74" s="45">
        <f t="shared" si="25"/>
        <v>3.3930566391139009E-3</v>
      </c>
      <c r="K74" s="45">
        <f t="shared" si="28"/>
        <v>3.393056639113901</v>
      </c>
      <c r="L74" s="45">
        <v>-3.0809999999999997E-2</v>
      </c>
      <c r="M74" s="45">
        <f t="shared" si="19"/>
        <v>1.310416985658143E-2</v>
      </c>
      <c r="N74" s="45">
        <f t="shared" si="29"/>
        <v>13.10416985658143</v>
      </c>
      <c r="O74" s="45">
        <v>6.9867500000000007</v>
      </c>
      <c r="P74" s="84">
        <f t="shared" si="20"/>
        <v>776.30555555555566</v>
      </c>
      <c r="Q74" s="84">
        <f t="shared" si="30"/>
        <v>61.611552028218703</v>
      </c>
      <c r="R74" s="45">
        <v>-12.68375</v>
      </c>
      <c r="S74" s="45">
        <f t="shared" si="31"/>
        <v>-1.2683750000000001E-2</v>
      </c>
      <c r="T74" s="45">
        <f t="shared" si="21"/>
        <v>1.6377984063995967E-3</v>
      </c>
      <c r="U74" s="45">
        <f t="shared" si="32"/>
        <v>1.6377984063995967</v>
      </c>
      <c r="V74" s="45">
        <v>2.0639999999999999E-2</v>
      </c>
      <c r="W74" s="45">
        <f t="shared" si="22"/>
        <v>4.6087888531618432E-3</v>
      </c>
      <c r="X74" s="45">
        <f t="shared" si="33"/>
        <v>4.6087888531618431</v>
      </c>
      <c r="Y74" s="45">
        <v>12.6</v>
      </c>
    </row>
    <row r="75" spans="1:25" x14ac:dyDescent="0.35">
      <c r="A75">
        <v>17</v>
      </c>
      <c r="B75" t="s">
        <v>105</v>
      </c>
      <c r="C75" s="45">
        <v>5.3812499999999996</v>
      </c>
      <c r="D75" s="45">
        <f t="shared" si="26"/>
        <v>0.71779744346116037</v>
      </c>
      <c r="E75" s="45">
        <f t="shared" si="23"/>
        <v>6.0208849557522139</v>
      </c>
      <c r="F75" s="45">
        <v>-18.926500000000001</v>
      </c>
      <c r="G75" s="45">
        <f t="shared" si="27"/>
        <v>-1.8926500000000002E-2</v>
      </c>
      <c r="H75" s="45">
        <f t="shared" si="24"/>
        <v>24.323429710899436</v>
      </c>
      <c r="I75" s="45">
        <v>-4.5557142857142824E-2</v>
      </c>
      <c r="J75" s="45">
        <f t="shared" si="25"/>
        <v>8.5378365328132727E-3</v>
      </c>
      <c r="K75" s="45">
        <f t="shared" si="28"/>
        <v>8.537836532813273</v>
      </c>
      <c r="L75" s="45">
        <v>-3.0759999999999999E-2</v>
      </c>
      <c r="M75" s="45">
        <f t="shared" si="19"/>
        <v>1.5721944430388737E-2</v>
      </c>
      <c r="N75" s="45">
        <f t="shared" si="29"/>
        <v>15.721944430388737</v>
      </c>
      <c r="O75" s="45">
        <v>25.291</v>
      </c>
      <c r="P75" s="84">
        <f t="shared" si="20"/>
        <v>2810.1111111111109</v>
      </c>
      <c r="Q75" s="84">
        <f t="shared" si="30"/>
        <v>268.0125046362528</v>
      </c>
      <c r="R75" s="45">
        <v>-21.435250000000003</v>
      </c>
      <c r="S75" s="45">
        <f t="shared" si="31"/>
        <v>-2.1435250000000003E-2</v>
      </c>
      <c r="T75" s="45">
        <f t="shared" si="21"/>
        <v>3.3261622802037679E-3</v>
      </c>
      <c r="U75" s="45">
        <f t="shared" si="32"/>
        <v>3.3261622802037678</v>
      </c>
      <c r="V75" s="45">
        <v>1.2710000000000001E-2</v>
      </c>
      <c r="W75" s="45">
        <f t="shared" si="22"/>
        <v>3.4105528185265428E-3</v>
      </c>
      <c r="X75" s="45">
        <f t="shared" si="33"/>
        <v>3.410552818526543</v>
      </c>
      <c r="Y75" s="45">
        <v>10.485000000000001</v>
      </c>
    </row>
    <row r="76" spans="1:25" x14ac:dyDescent="0.35">
      <c r="A76">
        <v>18</v>
      </c>
      <c r="B76" t="s">
        <v>105</v>
      </c>
      <c r="C76" s="45">
        <v>6.3974500000000001</v>
      </c>
      <c r="D76" s="45">
        <f t="shared" si="26"/>
        <v>0.66450606358570963</v>
      </c>
      <c r="E76" s="45">
        <f t="shared" si="23"/>
        <v>5.6296953706981316</v>
      </c>
      <c r="F76" s="45">
        <v>-18.576000000000001</v>
      </c>
      <c r="G76" s="45">
        <f t="shared" si="27"/>
        <v>-1.8576000000000002E-2</v>
      </c>
      <c r="H76" s="45">
        <f t="shared" si="24"/>
        <v>23.63628295402005</v>
      </c>
      <c r="I76" s="45">
        <v>2.972857142857166E-3</v>
      </c>
      <c r="J76" s="45">
        <f t="shared" si="25"/>
        <v>-5.5161729100317481E-4</v>
      </c>
      <c r="K76" s="45">
        <f t="shared" si="28"/>
        <v>-0.5516172910031748</v>
      </c>
      <c r="L76" s="45">
        <v>-2.0615000000000001E-2</v>
      </c>
      <c r="M76" s="45">
        <f t="shared" si="19"/>
        <v>1.0432196039257243E-2</v>
      </c>
      <c r="N76" s="45">
        <f t="shared" si="29"/>
        <v>10.432196039257242</v>
      </c>
      <c r="O76" s="45">
        <v>13.100999999999999</v>
      </c>
      <c r="P76" s="84">
        <f t="shared" si="20"/>
        <v>1455.6666666666665</v>
      </c>
      <c r="Q76" s="84">
        <f t="shared" si="30"/>
        <v>137.45672017626691</v>
      </c>
      <c r="R76" s="45">
        <v>-11.83925</v>
      </c>
      <c r="S76" s="45">
        <f t="shared" si="31"/>
        <v>-1.1839249999999999E-2</v>
      </c>
      <c r="T76" s="45">
        <f t="shared" si="21"/>
        <v>1.8189114093859135E-3</v>
      </c>
      <c r="U76" s="45">
        <f t="shared" si="32"/>
        <v>1.8189114093859136</v>
      </c>
      <c r="V76" s="45">
        <v>1.12E-2</v>
      </c>
      <c r="W76" s="45">
        <f t="shared" si="22"/>
        <v>2.9755669517745613E-3</v>
      </c>
      <c r="X76" s="45">
        <f t="shared" si="33"/>
        <v>2.9755669517745611</v>
      </c>
      <c r="Y76" s="45">
        <v>10.59</v>
      </c>
    </row>
    <row r="77" spans="1:25" x14ac:dyDescent="0.35">
      <c r="A77">
        <v>19</v>
      </c>
      <c r="B77" t="s">
        <v>105</v>
      </c>
      <c r="C77" s="45">
        <v>6.9737999999999998</v>
      </c>
      <c r="D77" s="45">
        <f t="shared" si="26"/>
        <v>0.63428121927236969</v>
      </c>
      <c r="E77" s="45">
        <f t="shared" si="23"/>
        <v>5.4497442359882005</v>
      </c>
      <c r="F77" s="45">
        <v>-18.262499999999999</v>
      </c>
      <c r="G77" s="45">
        <f t="shared" si="27"/>
        <v>-1.8262500000000001E-2</v>
      </c>
      <c r="H77" s="45">
        <f t="shared" si="24"/>
        <v>22.912838058459265</v>
      </c>
      <c r="I77" s="45">
        <v>-1.7757142857142832E-2</v>
      </c>
      <c r="J77" s="45">
        <f t="shared" si="25"/>
        <v>3.2488420549998758E-3</v>
      </c>
      <c r="K77" s="45">
        <f t="shared" si="28"/>
        <v>3.248842054999876</v>
      </c>
      <c r="L77" s="45">
        <v>-2.6845000000000001E-2</v>
      </c>
      <c r="M77" s="45">
        <f t="shared" si="19"/>
        <v>1.3395147109602192E-2</v>
      </c>
      <c r="N77" s="45">
        <f t="shared" si="29"/>
        <v>13.395147109602192</v>
      </c>
      <c r="O77" s="45">
        <v>34.881999999999998</v>
      </c>
      <c r="P77" s="84">
        <f t="shared" si="20"/>
        <v>3875.7777777777774</v>
      </c>
      <c r="Q77" s="84">
        <f t="shared" si="30"/>
        <v>360.87316366645973</v>
      </c>
      <c r="R77" s="45">
        <v>-15.146250000000002</v>
      </c>
      <c r="S77" s="45">
        <f t="shared" si="31"/>
        <v>-1.5146250000000002E-2</v>
      </c>
      <c r="T77" s="45">
        <f t="shared" si="21"/>
        <v>2.2944793606455619E-3</v>
      </c>
      <c r="U77" s="45">
        <f t="shared" si="32"/>
        <v>2.2944793606455618</v>
      </c>
      <c r="V77" s="45">
        <v>4.5975E-3</v>
      </c>
      <c r="W77" s="45">
        <f t="shared" si="22"/>
        <v>1.2043843970612009E-3</v>
      </c>
      <c r="X77" s="45">
        <f t="shared" si="33"/>
        <v>1.2043843970612009</v>
      </c>
      <c r="Y77" s="45">
        <v>10.74</v>
      </c>
    </row>
    <row r="78" spans="1:25" x14ac:dyDescent="0.35">
      <c r="A78">
        <v>20</v>
      </c>
      <c r="B78" t="s">
        <v>105</v>
      </c>
      <c r="C78" s="45">
        <v>10.042349999999999</v>
      </c>
      <c r="D78" s="45">
        <f t="shared" si="26"/>
        <v>0.47336086529006893</v>
      </c>
      <c r="E78" s="45">
        <f t="shared" si="23"/>
        <v>3.2945916224188796</v>
      </c>
      <c r="F78" s="45">
        <v>-17.660499999999999</v>
      </c>
      <c r="G78" s="45">
        <f t="shared" si="27"/>
        <v>-1.7660499999999999E-2</v>
      </c>
      <c r="H78" s="45">
        <f t="shared" si="24"/>
        <v>27.353108017323663</v>
      </c>
      <c r="I78" s="45">
        <v>-3.2657142857142843E-2</v>
      </c>
      <c r="J78" s="45">
        <f t="shared" si="25"/>
        <v>7.3759629142709279E-3</v>
      </c>
      <c r="K78" s="45">
        <f t="shared" si="28"/>
        <v>7.3759629142709278</v>
      </c>
      <c r="L78" s="45">
        <v>-3.0475000000000002E-2</v>
      </c>
      <c r="M78" s="45">
        <f t="shared" si="19"/>
        <v>1.8772098409530497E-2</v>
      </c>
      <c r="N78" s="45">
        <f t="shared" si="29"/>
        <v>18.772098409530496</v>
      </c>
      <c r="O78" s="45">
        <v>24.435000000000002</v>
      </c>
      <c r="P78" s="84">
        <f t="shared" si="20"/>
        <v>2715</v>
      </c>
      <c r="Q78" s="84">
        <f t="shared" si="30"/>
        <v>312.06896551724139</v>
      </c>
      <c r="R78" s="45">
        <v>-12.46425</v>
      </c>
      <c r="S78" s="45">
        <f t="shared" si="31"/>
        <v>-1.246425E-2</v>
      </c>
      <c r="T78" s="45">
        <f t="shared" si="21"/>
        <v>2.3309352764094141E-3</v>
      </c>
      <c r="U78" s="45">
        <f t="shared" si="32"/>
        <v>2.3309352764094142</v>
      </c>
      <c r="V78" s="45">
        <v>2.5350000000000004E-3</v>
      </c>
      <c r="W78" s="45">
        <f t="shared" si="22"/>
        <v>8.1979709502162114E-4</v>
      </c>
      <c r="X78" s="45">
        <f t="shared" si="33"/>
        <v>0.81979709502162112</v>
      </c>
      <c r="Y78" s="45">
        <v>8.6999999999999993</v>
      </c>
    </row>
    <row r="79" spans="1:25" x14ac:dyDescent="0.35">
      <c r="A79">
        <v>21</v>
      </c>
      <c r="B79" t="s">
        <v>105</v>
      </c>
      <c r="C79" s="45">
        <v>6.4665999999999997</v>
      </c>
      <c r="D79" s="45">
        <f t="shared" si="26"/>
        <v>0.66087971156997705</v>
      </c>
      <c r="E79" s="45">
        <f t="shared" si="23"/>
        <v>4.3538755398230089</v>
      </c>
      <c r="F79" s="45">
        <v>-18.545000000000002</v>
      </c>
      <c r="G79" s="45">
        <f t="shared" si="27"/>
        <v>-1.8545000000000002E-2</v>
      </c>
      <c r="H79" s="45">
        <f t="shared" si="24"/>
        <v>30.344932252116166</v>
      </c>
      <c r="I79" s="45">
        <v>-2.1557142857142844E-2</v>
      </c>
      <c r="J79" s="45">
        <f t="shared" si="25"/>
        <v>5.143839241497067E-3</v>
      </c>
      <c r="K79" s="45">
        <f t="shared" si="28"/>
        <v>5.1438392414970666</v>
      </c>
      <c r="L79" s="45">
        <v>-2.1054999999999997E-2</v>
      </c>
      <c r="M79" s="45">
        <f t="shared" si="19"/>
        <v>1.3701875051654541E-2</v>
      </c>
      <c r="N79" s="45">
        <f t="shared" si="29"/>
        <v>13.701875051654541</v>
      </c>
      <c r="O79" s="45">
        <v>27.9025</v>
      </c>
      <c r="P79" s="84">
        <f t="shared" si="20"/>
        <v>3100.2777777777778</v>
      </c>
      <c r="Q79" s="84">
        <f t="shared" si="30"/>
        <v>376.47574714969983</v>
      </c>
      <c r="R79" s="45">
        <v>-12.91675</v>
      </c>
      <c r="S79" s="45">
        <f t="shared" si="31"/>
        <v>-1.2916750000000001E-2</v>
      </c>
      <c r="T79" s="45">
        <f t="shared" si="21"/>
        <v>2.5519547325102889E-3</v>
      </c>
      <c r="U79" s="45">
        <f t="shared" si="32"/>
        <v>2.5519547325102887</v>
      </c>
      <c r="V79" s="45">
        <v>3.9690000000000003E-3</v>
      </c>
      <c r="W79" s="45">
        <f t="shared" si="22"/>
        <v>1.3560170786990674E-3</v>
      </c>
      <c r="X79" s="45">
        <f t="shared" si="33"/>
        <v>1.3560170786990673</v>
      </c>
      <c r="Y79" s="45">
        <v>8.2349999999999994</v>
      </c>
    </row>
    <row r="80" spans="1:25" x14ac:dyDescent="0.35">
      <c r="A80">
        <v>22</v>
      </c>
      <c r="B80" t="s">
        <v>105</v>
      </c>
      <c r="C80" s="45">
        <v>6.8452999999999999</v>
      </c>
      <c r="D80" s="45">
        <f t="shared" si="26"/>
        <v>0.64101999344477223</v>
      </c>
      <c r="E80" s="45">
        <f t="shared" si="23"/>
        <v>5.5691817030481818</v>
      </c>
      <c r="F80" s="45">
        <v>-24.622</v>
      </c>
      <c r="G80" s="45">
        <f t="shared" si="27"/>
        <v>-2.4622000000000002E-2</v>
      </c>
      <c r="H80" s="45">
        <f t="shared" si="24"/>
        <v>30.550367564150417</v>
      </c>
      <c r="I80" s="45">
        <v>-3.5557142857142843E-2</v>
      </c>
      <c r="J80" s="45">
        <f t="shared" si="25"/>
        <v>6.433640984457277E-3</v>
      </c>
      <c r="K80" s="45">
        <f t="shared" si="28"/>
        <v>6.4336409844572771</v>
      </c>
      <c r="L80" s="45">
        <v>-2.3165000000000002E-2</v>
      </c>
      <c r="M80" s="45">
        <f t="shared" si="19"/>
        <v>1.1431174117038643E-2</v>
      </c>
      <c r="N80" s="45">
        <f t="shared" si="29"/>
        <v>11.431174117038644</v>
      </c>
      <c r="O80" s="45">
        <v>25.0185</v>
      </c>
      <c r="P80" s="84">
        <f t="shared" si="20"/>
        <v>2779.833333333333</v>
      </c>
      <c r="Q80" s="84">
        <f t="shared" si="30"/>
        <v>255.96992019643952</v>
      </c>
      <c r="R80" s="45">
        <v>-24.741750000000003</v>
      </c>
      <c r="S80" s="45">
        <f t="shared" si="31"/>
        <v>-2.4741750000000003E-2</v>
      </c>
      <c r="T80" s="45">
        <f t="shared" si="21"/>
        <v>3.7066698456546528E-3</v>
      </c>
      <c r="U80" s="45">
        <f t="shared" si="32"/>
        <v>3.7066698456546527</v>
      </c>
      <c r="V80" s="45">
        <v>1.068E-2</v>
      </c>
      <c r="W80" s="45">
        <f t="shared" si="22"/>
        <v>2.7668721465243114E-3</v>
      </c>
      <c r="X80" s="45">
        <f t="shared" si="33"/>
        <v>2.7668721465243116</v>
      </c>
      <c r="Y80" s="45">
        <v>10.86</v>
      </c>
    </row>
    <row r="81" spans="1:25" x14ac:dyDescent="0.35">
      <c r="A81">
        <v>23</v>
      </c>
      <c r="B81" t="s">
        <v>105</v>
      </c>
      <c r="C81" s="45">
        <v>6.492</v>
      </c>
      <c r="D81" s="45">
        <f t="shared" si="26"/>
        <v>0.65954768928220253</v>
      </c>
      <c r="E81" s="45">
        <f t="shared" si="23"/>
        <v>6.6957281415929204</v>
      </c>
      <c r="F81" s="45">
        <v>-17.456499999999998</v>
      </c>
      <c r="G81" s="45">
        <f t="shared" si="27"/>
        <v>-1.74565E-2</v>
      </c>
      <c r="H81" s="45">
        <f t="shared" si="24"/>
        <v>18.536105334008138</v>
      </c>
      <c r="I81" s="45">
        <v>-2.2257142857142836E-2</v>
      </c>
      <c r="J81" s="45">
        <f t="shared" si="25"/>
        <v>3.4464150827897728E-3</v>
      </c>
      <c r="K81" s="45">
        <f t="shared" si="28"/>
        <v>3.4464150827897728</v>
      </c>
      <c r="L81" s="45">
        <v>-2.5499999999999998E-2</v>
      </c>
      <c r="M81" s="45">
        <f t="shared" si="19"/>
        <v>1.0768790272108324E-2</v>
      </c>
      <c r="N81" s="45">
        <f t="shared" si="29"/>
        <v>10.768790272108324</v>
      </c>
      <c r="O81" s="45">
        <v>19.07</v>
      </c>
      <c r="P81" s="84">
        <f t="shared" si="20"/>
        <v>2118.8888888888887</v>
      </c>
      <c r="Q81" s="84">
        <f t="shared" si="30"/>
        <v>166.97311969179577</v>
      </c>
      <c r="R81" s="45">
        <v>-13.649250000000002</v>
      </c>
      <c r="S81" s="45">
        <f t="shared" si="31"/>
        <v>-1.3649250000000002E-2</v>
      </c>
      <c r="T81" s="45">
        <f t="shared" si="21"/>
        <v>1.7499695110510713E-3</v>
      </c>
      <c r="U81" s="45">
        <f t="shared" si="32"/>
        <v>1.7499695110510713</v>
      </c>
      <c r="V81" s="45">
        <v>6.6980000000000008E-3</v>
      </c>
      <c r="W81" s="45">
        <f t="shared" si="22"/>
        <v>1.4850161785237381E-3</v>
      </c>
      <c r="X81" s="45">
        <f t="shared" si="33"/>
        <v>1.4850161785237381</v>
      </c>
      <c r="Y81" s="45">
        <v>12.690000000000001</v>
      </c>
    </row>
    <row r="82" spans="1:25" x14ac:dyDescent="0.35">
      <c r="A82">
        <v>24</v>
      </c>
      <c r="B82" t="s">
        <v>105</v>
      </c>
      <c r="C82" s="45">
        <v>7.7193500000000004</v>
      </c>
      <c r="D82" s="45">
        <f t="shared" si="26"/>
        <v>0.59518321861684698</v>
      </c>
      <c r="E82" s="45">
        <f t="shared" si="23"/>
        <v>4.7424198859390367</v>
      </c>
      <c r="F82" s="45">
        <v>-16.161999999999999</v>
      </c>
      <c r="G82" s="45">
        <f t="shared" si="27"/>
        <v>-1.6161999999999999E-2</v>
      </c>
      <c r="H82" s="45">
        <f t="shared" si="24"/>
        <v>21.865464214953128</v>
      </c>
      <c r="I82" s="45">
        <v>-9.0957142857142848E-2</v>
      </c>
      <c r="J82" s="45">
        <f t="shared" si="25"/>
        <v>1.7944743809618097E-2</v>
      </c>
      <c r="K82" s="45">
        <f t="shared" si="28"/>
        <v>17.944743809618096</v>
      </c>
      <c r="L82" s="45">
        <v>-2.2234999999999998E-2</v>
      </c>
      <c r="M82" s="45">
        <f t="shared" si="19"/>
        <v>1.1963717678861211E-2</v>
      </c>
      <c r="N82" s="45">
        <f t="shared" si="29"/>
        <v>11.963717678861212</v>
      </c>
      <c r="O82" s="45">
        <v>17.356000000000002</v>
      </c>
      <c r="P82" s="84">
        <f t="shared" si="20"/>
        <v>1928.4444444444446</v>
      </c>
      <c r="Q82" s="84">
        <f t="shared" si="30"/>
        <v>193.61892012494425</v>
      </c>
      <c r="R82" s="45">
        <v>-16.368250000000003</v>
      </c>
      <c r="S82" s="45">
        <f t="shared" si="31"/>
        <v>-1.6368250000000004E-2</v>
      </c>
      <c r="T82" s="45">
        <f t="shared" si="21"/>
        <v>2.6737834273602352E-3</v>
      </c>
      <c r="U82" s="45">
        <f t="shared" si="32"/>
        <v>2.673783427360235</v>
      </c>
      <c r="V82" s="45">
        <v>2.5260000000000001E-2</v>
      </c>
      <c r="W82" s="45">
        <f t="shared" si="22"/>
        <v>7.135455003292916E-3</v>
      </c>
      <c r="X82" s="45">
        <f t="shared" si="33"/>
        <v>7.1354550032929156</v>
      </c>
      <c r="Y82" s="45">
        <v>9.9599999999999991</v>
      </c>
    </row>
    <row r="83" spans="1:25" x14ac:dyDescent="0.35">
      <c r="A83">
        <v>25</v>
      </c>
      <c r="B83" t="s">
        <v>105</v>
      </c>
      <c r="C83" s="45">
        <v>5.5536500000000002</v>
      </c>
      <c r="D83" s="45">
        <f t="shared" si="26"/>
        <v>0.70875647328744673</v>
      </c>
      <c r="E83" s="45">
        <f t="shared" si="23"/>
        <v>6.8040621435594897</v>
      </c>
      <c r="F83" s="45">
        <v>-14.509</v>
      </c>
      <c r="G83" s="45">
        <f t="shared" si="27"/>
        <v>-1.4509000000000001E-2</v>
      </c>
      <c r="H83" s="45">
        <f t="shared" si="24"/>
        <v>16.292178990511484</v>
      </c>
      <c r="I83" s="45">
        <v>3.5142857142857163E-2</v>
      </c>
      <c r="J83" s="45">
        <f t="shared" si="25"/>
        <v>-5.754606236921353E-3</v>
      </c>
      <c r="K83" s="45">
        <f t="shared" si="28"/>
        <v>-5.7546062369213526</v>
      </c>
      <c r="L83" s="45">
        <v>-1.06E-2</v>
      </c>
      <c r="M83" s="45">
        <f t="shared" si="19"/>
        <v>4.7338335119685602E-3</v>
      </c>
      <c r="N83" s="45">
        <f t="shared" si="29"/>
        <v>4.7338335119685606</v>
      </c>
      <c r="O83" s="45">
        <v>23.463999999999999</v>
      </c>
      <c r="P83" s="84">
        <f t="shared" si="20"/>
        <v>2607.1111111111109</v>
      </c>
      <c r="Q83" s="84">
        <f t="shared" si="30"/>
        <v>217.25925925925924</v>
      </c>
      <c r="R83" s="45">
        <v>-13.360749999999999</v>
      </c>
      <c r="S83" s="45">
        <f t="shared" si="31"/>
        <v>-1.3360749999999999E-2</v>
      </c>
      <c r="T83" s="45">
        <f t="shared" si="21"/>
        <v>1.8114773478835977E-3</v>
      </c>
      <c r="U83" s="45">
        <f t="shared" si="32"/>
        <v>1.8114773478835977</v>
      </c>
      <c r="V83" s="45">
        <v>2.664E-2</v>
      </c>
      <c r="W83" s="45">
        <f t="shared" si="22"/>
        <v>6.245980707395498E-3</v>
      </c>
      <c r="X83" s="45">
        <f t="shared" si="33"/>
        <v>6.245980707395498</v>
      </c>
      <c r="Y83" s="45">
        <v>12</v>
      </c>
    </row>
    <row r="84" spans="1:25" x14ac:dyDescent="0.35">
      <c r="A84">
        <v>26</v>
      </c>
      <c r="B84" t="s">
        <v>105</v>
      </c>
      <c r="C84" s="45">
        <v>6.7003500000000003</v>
      </c>
      <c r="D84" s="45">
        <f t="shared" si="26"/>
        <v>0.64862143559488694</v>
      </c>
      <c r="E84" s="45">
        <f t="shared" si="23"/>
        <v>5.2304832566371671</v>
      </c>
      <c r="F84" s="45">
        <v>-14.145</v>
      </c>
      <c r="G84" s="45">
        <f t="shared" si="27"/>
        <v>-1.4145E-2</v>
      </c>
      <c r="H84" s="45">
        <f t="shared" si="24"/>
        <v>18.908860495520429</v>
      </c>
      <c r="I84" s="45">
        <v>3.0052857142857166E-2</v>
      </c>
      <c r="J84" s="45">
        <f t="shared" si="25"/>
        <v>-5.8584810010701965E-3</v>
      </c>
      <c r="K84" s="45">
        <f t="shared" si="28"/>
        <v>-5.8584810010701966</v>
      </c>
      <c r="L84" s="45">
        <v>-1.7455000000000001E-3</v>
      </c>
      <c r="M84" s="45">
        <f t="shared" si="19"/>
        <v>9.2799937052348656E-4</v>
      </c>
      <c r="N84" s="45">
        <f t="shared" si="29"/>
        <v>0.92799937052348658</v>
      </c>
      <c r="O84" s="45">
        <v>16.095500000000001</v>
      </c>
      <c r="P84" s="84">
        <f t="shared" si="20"/>
        <v>1788.3888888888891</v>
      </c>
      <c r="Q84" s="84">
        <f t="shared" si="30"/>
        <v>177.419532627866</v>
      </c>
      <c r="R84" s="45">
        <v>-7.8427500000000023</v>
      </c>
      <c r="S84" s="45">
        <f t="shared" si="31"/>
        <v>-7.8427500000000025E-3</v>
      </c>
      <c r="T84" s="45">
        <f t="shared" si="21"/>
        <v>1.2658759684429336E-3</v>
      </c>
      <c r="U84" s="45">
        <f t="shared" si="32"/>
        <v>1.2658759684429335</v>
      </c>
      <c r="V84" s="45">
        <v>2.027E-2</v>
      </c>
      <c r="W84" s="45">
        <f t="shared" si="22"/>
        <v>5.6577125759199737E-3</v>
      </c>
      <c r="X84" s="45">
        <f t="shared" si="33"/>
        <v>5.657712575919974</v>
      </c>
      <c r="Y84" s="45">
        <v>10.079999999999998</v>
      </c>
    </row>
    <row r="85" spans="1:25" x14ac:dyDescent="0.35">
      <c r="A85">
        <v>27</v>
      </c>
      <c r="B85" t="s">
        <v>105</v>
      </c>
      <c r="C85" s="45">
        <v>6.1694499999999994</v>
      </c>
      <c r="D85" s="45">
        <f t="shared" si="26"/>
        <v>0.67646279908226814</v>
      </c>
      <c r="E85" s="45">
        <f t="shared" si="23"/>
        <v>6.2586338171091453</v>
      </c>
      <c r="F85" s="45">
        <v>-10.3505</v>
      </c>
      <c r="G85" s="45">
        <f t="shared" si="27"/>
        <v>-1.03505E-2</v>
      </c>
      <c r="H85" s="45">
        <f t="shared" si="24"/>
        <v>12.059759045128775</v>
      </c>
      <c r="I85" s="45">
        <v>1.623285714285716E-2</v>
      </c>
      <c r="J85" s="45">
        <f t="shared" si="25"/>
        <v>-2.7580943625167345E-3</v>
      </c>
      <c r="K85" s="45">
        <f t="shared" si="28"/>
        <v>-2.7580943625167347</v>
      </c>
      <c r="L85" s="45">
        <v>-2.545E-2</v>
      </c>
      <c r="M85" s="45">
        <f t="shared" si="19"/>
        <v>1.179316867382227E-2</v>
      </c>
      <c r="N85" s="45">
        <f t="shared" si="29"/>
        <v>11.793168673822271</v>
      </c>
      <c r="O85" s="45">
        <v>11.478999999999999</v>
      </c>
      <c r="P85" s="84">
        <f t="shared" si="20"/>
        <v>1275.4444444444443</v>
      </c>
      <c r="Q85" s="84">
        <f t="shared" si="30"/>
        <v>110.28486333285295</v>
      </c>
      <c r="R85" s="45">
        <v>-7.0097500000000004</v>
      </c>
      <c r="S85" s="45">
        <f t="shared" si="31"/>
        <v>-7.0097500000000004E-3</v>
      </c>
      <c r="T85" s="45">
        <f t="shared" si="21"/>
        <v>9.8614370809571843E-4</v>
      </c>
      <c r="U85" s="45">
        <f t="shared" si="32"/>
        <v>0.98614370809571839</v>
      </c>
      <c r="V85" s="45">
        <v>9.0115000000000004E-3</v>
      </c>
      <c r="W85" s="45">
        <f t="shared" si="22"/>
        <v>2.1922956086317656E-3</v>
      </c>
      <c r="X85" s="45">
        <f t="shared" si="33"/>
        <v>2.1922956086317655</v>
      </c>
      <c r="Y85" s="45">
        <v>11.565</v>
      </c>
    </row>
    <row r="86" spans="1:25" x14ac:dyDescent="0.35">
      <c r="A86">
        <v>28</v>
      </c>
      <c r="B86" t="s">
        <v>105</v>
      </c>
      <c r="C86" s="45">
        <v>4.2350000000000003</v>
      </c>
      <c r="D86" s="45">
        <f t="shared" si="26"/>
        <v>0.77790888233366118</v>
      </c>
      <c r="E86" s="45">
        <f t="shared" si="23"/>
        <v>7.2065478859390382</v>
      </c>
      <c r="F86" s="45">
        <v>-14.9415</v>
      </c>
      <c r="G86" s="45">
        <f t="shared" si="27"/>
        <v>-1.49415E-2</v>
      </c>
      <c r="H86" s="45">
        <f t="shared" si="24"/>
        <v>17.386356396742659</v>
      </c>
      <c r="I86" s="45">
        <v>4.714285714285716E-2</v>
      </c>
      <c r="J86" s="45">
        <f t="shared" si="25"/>
        <v>-7.9995789973631819E-3</v>
      </c>
      <c r="K86" s="45">
        <f t="shared" si="28"/>
        <v>-7.9995789973631819</v>
      </c>
      <c r="L86" s="45">
        <v>-2.3475000000000003E-2</v>
      </c>
      <c r="M86" s="45">
        <f t="shared" si="19"/>
        <v>1.0863891063981031E-2</v>
      </c>
      <c r="N86" s="45">
        <f t="shared" si="29"/>
        <v>10.863891063981031</v>
      </c>
      <c r="O86" s="45">
        <v>23.060499999999998</v>
      </c>
      <c r="P86" s="84">
        <f t="shared" si="20"/>
        <v>2562.2777777777774</v>
      </c>
      <c r="Q86" s="84">
        <f t="shared" si="30"/>
        <v>221.26751103435038</v>
      </c>
      <c r="R86" s="45">
        <v>-8.7907500000000027</v>
      </c>
      <c r="S86" s="45">
        <f t="shared" si="31"/>
        <v>-8.7907500000000034E-3</v>
      </c>
      <c r="T86" s="45">
        <f t="shared" si="21"/>
        <v>1.2350959166049845E-3</v>
      </c>
      <c r="U86" s="45">
        <f t="shared" si="32"/>
        <v>1.2350959166049844</v>
      </c>
      <c r="V86" s="45">
        <v>1.137E-2</v>
      </c>
      <c r="W86" s="45">
        <f t="shared" si="22"/>
        <v>2.762482714959266E-3</v>
      </c>
      <c r="X86" s="45">
        <f t="shared" si="33"/>
        <v>2.7624827149592659</v>
      </c>
      <c r="Y86" s="45">
        <v>11.58</v>
      </c>
    </row>
    <row r="87" spans="1:25" x14ac:dyDescent="0.35">
      <c r="A87">
        <v>29</v>
      </c>
      <c r="B87" t="s">
        <v>105</v>
      </c>
      <c r="C87" s="45">
        <v>6.4286000000000003</v>
      </c>
      <c r="D87" s="45">
        <f t="shared" si="26"/>
        <v>0.66287250081940352</v>
      </c>
      <c r="E87" s="45">
        <f t="shared" si="23"/>
        <v>5.766990757128811</v>
      </c>
      <c r="F87" s="45">
        <v>-14.92</v>
      </c>
      <c r="G87" s="45">
        <f t="shared" si="27"/>
        <v>-1.4919999999999999E-2</v>
      </c>
      <c r="H87" s="45">
        <f t="shared" si="24"/>
        <v>18.486832042964537</v>
      </c>
      <c r="I87" s="45">
        <v>-2.4457142857142844E-2</v>
      </c>
      <c r="J87" s="45">
        <f t="shared" si="25"/>
        <v>4.4191245876576812E-3</v>
      </c>
      <c r="K87" s="45">
        <f t="shared" si="28"/>
        <v>4.4191245876576808</v>
      </c>
      <c r="L87" s="45">
        <v>-1.7495E-2</v>
      </c>
      <c r="M87" s="45">
        <f t="shared" si="19"/>
        <v>8.6213056387133332E-3</v>
      </c>
      <c r="N87" s="45">
        <f t="shared" si="29"/>
        <v>8.6213056387133324</v>
      </c>
      <c r="O87" s="45">
        <v>26.62</v>
      </c>
      <c r="P87" s="84">
        <f t="shared" si="20"/>
        <v>2957.7777777777778</v>
      </c>
      <c r="Q87" s="84">
        <f t="shared" si="30"/>
        <v>271.97956577266922</v>
      </c>
      <c r="R87" s="45">
        <v>-9.4352499999999999</v>
      </c>
      <c r="S87" s="45">
        <f t="shared" si="31"/>
        <v>-9.4352499999999992E-3</v>
      </c>
      <c r="T87" s="45">
        <f t="shared" si="21"/>
        <v>1.4115863893450098E-3</v>
      </c>
      <c r="U87" s="45">
        <f t="shared" si="32"/>
        <v>1.4115863893450098</v>
      </c>
      <c r="V87" s="45">
        <v>6.0049999999999999E-3</v>
      </c>
      <c r="W87" s="45">
        <f t="shared" si="22"/>
        <v>1.5535720885537939E-3</v>
      </c>
      <c r="X87" s="45">
        <f t="shared" si="33"/>
        <v>1.5535720885537938</v>
      </c>
      <c r="Y87" s="45">
        <v>10.875</v>
      </c>
    </row>
    <row r="88" spans="1:25" x14ac:dyDescent="0.35">
      <c r="A88">
        <v>30</v>
      </c>
      <c r="B88" t="s">
        <v>105</v>
      </c>
      <c r="C88" s="45">
        <v>6.9795999999999996</v>
      </c>
      <c r="D88" s="45">
        <f t="shared" si="26"/>
        <v>0.63397705670272042</v>
      </c>
      <c r="E88" s="45">
        <f t="shared" si="23"/>
        <v>4.3896571406096356</v>
      </c>
      <c r="F88" s="45">
        <v>-15.102499999999999</v>
      </c>
      <c r="G88" s="45">
        <f t="shared" si="27"/>
        <v>-1.51025E-2</v>
      </c>
      <c r="H88" s="45">
        <f t="shared" si="24"/>
        <v>23.512819517313851</v>
      </c>
      <c r="I88" s="45">
        <v>-9.5257142857142846E-2</v>
      </c>
      <c r="J88" s="45">
        <f t="shared" si="25"/>
        <v>2.1626700701859382E-2</v>
      </c>
      <c r="K88" s="45">
        <f t="shared" si="28"/>
        <v>21.626700701859381</v>
      </c>
      <c r="L88" s="45">
        <v>-1.7545000000000002E-2</v>
      </c>
      <c r="M88" s="45">
        <f t="shared" si="19"/>
        <v>1.0863622375656572E-2</v>
      </c>
      <c r="N88" s="45">
        <f t="shared" si="29"/>
        <v>10.863622375656572</v>
      </c>
      <c r="O88" s="45">
        <v>20.292000000000002</v>
      </c>
      <c r="P88" s="84">
        <f t="shared" si="20"/>
        <v>2254.666666666667</v>
      </c>
      <c r="Q88" s="84">
        <f t="shared" si="30"/>
        <v>260.50452532254963</v>
      </c>
      <c r="R88" s="45">
        <v>-9.6177500000000009</v>
      </c>
      <c r="S88" s="45">
        <f t="shared" si="31"/>
        <v>-9.6177500000000013E-3</v>
      </c>
      <c r="T88" s="45">
        <f t="shared" si="21"/>
        <v>1.8079637882497505E-3</v>
      </c>
      <c r="U88" s="45">
        <f t="shared" si="32"/>
        <v>1.8079637882497506</v>
      </c>
      <c r="V88" s="45">
        <v>7.8910000000000004E-3</v>
      </c>
      <c r="W88" s="45">
        <f t="shared" si="22"/>
        <v>2.5651492269769534E-3</v>
      </c>
      <c r="X88" s="45">
        <f t="shared" si="33"/>
        <v>2.5651492269769536</v>
      </c>
      <c r="Y88" s="45">
        <v>8.6549999999999994</v>
      </c>
    </row>
    <row r="89" spans="1:25" x14ac:dyDescent="0.35">
      <c r="A89">
        <v>31</v>
      </c>
      <c r="B89" t="s">
        <v>105</v>
      </c>
      <c r="C89" s="45">
        <v>7.1951000000000001</v>
      </c>
      <c r="D89" s="45">
        <f t="shared" si="26"/>
        <v>0.62267584398557851</v>
      </c>
      <c r="E89" s="45">
        <f t="shared" si="23"/>
        <v>3.7584713942969521</v>
      </c>
      <c r="F89" s="45">
        <v>-18.637999999999998</v>
      </c>
      <c r="G89" s="45">
        <f t="shared" si="27"/>
        <v>-1.8637999999999998E-2</v>
      </c>
      <c r="H89" s="45">
        <f t="shared" si="24"/>
        <v>33.286106727218524</v>
      </c>
      <c r="I89" s="45">
        <v>-6.3057142857142839E-2</v>
      </c>
      <c r="J89" s="45">
        <f t="shared" si="25"/>
        <v>1.6422332301974062E-2</v>
      </c>
      <c r="K89" s="45">
        <f t="shared" si="28"/>
        <v>16.422332301974063</v>
      </c>
      <c r="L89" s="45">
        <v>-5.7079999999999999E-2</v>
      </c>
      <c r="M89" s="45">
        <f t="shared" si="19"/>
        <v>4.0542738566812772E-2</v>
      </c>
      <c r="N89" s="45">
        <f t="shared" si="29"/>
        <v>40.542738566812773</v>
      </c>
      <c r="O89" s="45">
        <v>21.094999999999999</v>
      </c>
      <c r="P89" s="84">
        <f t="shared" si="20"/>
        <v>2343.8888888888887</v>
      </c>
      <c r="Q89" s="84">
        <f t="shared" si="30"/>
        <v>310.6545909726824</v>
      </c>
      <c r="R89" s="45">
        <v>-12.756250000000001</v>
      </c>
      <c r="S89" s="45">
        <f t="shared" si="31"/>
        <v>-1.2756250000000002E-2</v>
      </c>
      <c r="T89" s="45">
        <f t="shared" si="21"/>
        <v>2.7507244890445687E-3</v>
      </c>
      <c r="U89" s="45">
        <f t="shared" si="32"/>
        <v>2.7507244890445688</v>
      </c>
      <c r="V89" s="45">
        <v>4.5069999999999997E-3</v>
      </c>
      <c r="W89" s="45">
        <f t="shared" si="22"/>
        <v>1.6806449619538926E-3</v>
      </c>
      <c r="X89" s="45">
        <f t="shared" si="33"/>
        <v>1.6806449619538926</v>
      </c>
      <c r="Y89" s="45">
        <v>7.5449999999999999</v>
      </c>
    </row>
    <row r="90" spans="1:25" x14ac:dyDescent="0.35">
      <c r="A90">
        <v>32</v>
      </c>
      <c r="B90" t="s">
        <v>105</v>
      </c>
      <c r="C90" s="45">
        <v>4.7953999999999999</v>
      </c>
      <c r="D90" s="45">
        <f t="shared" si="26"/>
        <v>0.74852048508685676</v>
      </c>
      <c r="E90" s="45">
        <f t="shared" si="23"/>
        <v>5.7216905880039333</v>
      </c>
      <c r="F90" s="45">
        <v>-17.683500000000002</v>
      </c>
      <c r="G90" s="45">
        <f t="shared" si="27"/>
        <v>-1.7683500000000001E-2</v>
      </c>
      <c r="H90" s="45">
        <f t="shared" si="24"/>
        <v>24.937934127279402</v>
      </c>
      <c r="I90" s="45">
        <v>-7.0557142857142846E-2</v>
      </c>
      <c r="J90" s="45">
        <f t="shared" si="25"/>
        <v>1.4510089318147587E-2</v>
      </c>
      <c r="K90" s="45">
        <f t="shared" si="28"/>
        <v>14.510089318147587</v>
      </c>
      <c r="L90" s="45">
        <v>-7.9600000000000001E-3</v>
      </c>
      <c r="M90" s="45">
        <f t="shared" si="19"/>
        <v>4.4644785113319794E-3</v>
      </c>
      <c r="N90" s="45">
        <f t="shared" si="29"/>
        <v>4.4644785113319791</v>
      </c>
      <c r="O90" s="45">
        <v>32.472999999999999</v>
      </c>
      <c r="P90" s="84">
        <f t="shared" si="20"/>
        <v>3608.1111111111109</v>
      </c>
      <c r="Q90" s="84">
        <f t="shared" si="30"/>
        <v>377.61497761497759</v>
      </c>
      <c r="R90" s="45">
        <v>-11.79325</v>
      </c>
      <c r="S90" s="45">
        <f t="shared" si="31"/>
        <v>-1.179325E-2</v>
      </c>
      <c r="T90" s="45">
        <f t="shared" si="21"/>
        <v>2.0081036688179544E-3</v>
      </c>
      <c r="U90" s="45">
        <f t="shared" si="32"/>
        <v>2.0081036688179545</v>
      </c>
      <c r="V90" s="45">
        <v>3.9935000000000005E-3</v>
      </c>
      <c r="W90" s="45">
        <f t="shared" si="22"/>
        <v>1.1759007337785474E-3</v>
      </c>
      <c r="X90" s="45">
        <f t="shared" si="33"/>
        <v>1.1759007337785474</v>
      </c>
      <c r="Y90" s="45">
        <v>9.5549999999999997</v>
      </c>
    </row>
    <row r="91" spans="1:25" x14ac:dyDescent="0.35">
      <c r="A91">
        <v>33</v>
      </c>
      <c r="B91" t="s">
        <v>105</v>
      </c>
      <c r="C91" s="45">
        <v>5.7184999999999997</v>
      </c>
      <c r="D91" s="45">
        <f t="shared" si="26"/>
        <v>0.70011143887250094</v>
      </c>
      <c r="E91" s="45">
        <f t="shared" si="23"/>
        <v>5.6961066666666671</v>
      </c>
      <c r="F91" s="45">
        <v>-15.0625</v>
      </c>
      <c r="G91" s="45">
        <f t="shared" si="27"/>
        <v>-1.50625E-2</v>
      </c>
      <c r="H91" s="45">
        <f t="shared" si="24"/>
        <v>19.957174057528668</v>
      </c>
      <c r="I91" s="45">
        <v>-6.5271428571428425E-3</v>
      </c>
      <c r="J91" s="45">
        <f t="shared" si="25"/>
        <v>1.2611360959538381E-3</v>
      </c>
      <c r="K91" s="45">
        <f t="shared" si="28"/>
        <v>1.2611360959538382</v>
      </c>
      <c r="L91" s="45">
        <v>-1.013E-2</v>
      </c>
      <c r="M91" s="45">
        <f t="shared" ref="M91:M109" si="34">(-L91*M$1*M$3)/(M$4*M$2*0.6*$Y91*10^-3)</f>
        <v>5.3379789031270126E-3</v>
      </c>
      <c r="N91" s="45">
        <f t="shared" si="29"/>
        <v>5.3379789031270128</v>
      </c>
      <c r="O91" s="45">
        <v>23.7515</v>
      </c>
      <c r="P91" s="84">
        <f t="shared" si="20"/>
        <v>2639.0555555555557</v>
      </c>
      <c r="Q91" s="84">
        <f t="shared" si="30"/>
        <v>259.49415492188359</v>
      </c>
      <c r="R91" s="45">
        <v>-19.126250000000002</v>
      </c>
      <c r="S91" s="45">
        <f t="shared" si="31"/>
        <v>-1.9126250000000001E-2</v>
      </c>
      <c r="T91" s="45">
        <f t="shared" si="21"/>
        <v>3.0597940175742543E-3</v>
      </c>
      <c r="U91" s="45">
        <f t="shared" si="32"/>
        <v>3.0597940175742542</v>
      </c>
      <c r="V91" s="45">
        <v>1.9059E-2</v>
      </c>
      <c r="W91" s="45">
        <f t="shared" si="22"/>
        <v>5.2726242305248094E-3</v>
      </c>
      <c r="X91" s="45">
        <f t="shared" si="33"/>
        <v>5.2726242305248094</v>
      </c>
      <c r="Y91" s="45">
        <v>10.169999999999998</v>
      </c>
    </row>
    <row r="92" spans="1:25" x14ac:dyDescent="0.35">
      <c r="A92">
        <v>34</v>
      </c>
      <c r="B92" t="s">
        <v>105</v>
      </c>
      <c r="C92" s="45">
        <v>6.7963000000000005</v>
      </c>
      <c r="D92" s="45">
        <f t="shared" si="26"/>
        <v>0.64358964274008523</v>
      </c>
      <c r="E92" s="45">
        <f t="shared" si="23"/>
        <v>4.3867070049164223</v>
      </c>
      <c r="F92" s="45">
        <v>-12.699</v>
      </c>
      <c r="G92" s="45">
        <f t="shared" si="27"/>
        <v>-1.2699E-2</v>
      </c>
      <c r="H92" s="45">
        <f t="shared" si="24"/>
        <v>20.084122725234678</v>
      </c>
      <c r="I92" s="45">
        <v>3.8128571428571595E-3</v>
      </c>
      <c r="J92" s="45">
        <f t="shared" si="25"/>
        <v>-8.7936814647561804E-4</v>
      </c>
      <c r="K92" s="45">
        <f t="shared" si="28"/>
        <v>-0.87936814647561801</v>
      </c>
      <c r="L92" s="45">
        <v>-7.3200000000000001E-3</v>
      </c>
      <c r="M92" s="45">
        <f t="shared" si="34"/>
        <v>4.6042600727624044E-3</v>
      </c>
      <c r="N92" s="45">
        <f t="shared" si="29"/>
        <v>4.6042600727624041</v>
      </c>
      <c r="O92" s="45">
        <v>21.875499999999999</v>
      </c>
      <c r="P92" s="84">
        <f t="shared" si="20"/>
        <v>2430.6111111111109</v>
      </c>
      <c r="Q92" s="84">
        <f t="shared" si="30"/>
        <v>285.28299426186743</v>
      </c>
      <c r="R92" s="45">
        <v>-9.6052500000000016</v>
      </c>
      <c r="S92" s="45">
        <f t="shared" si="31"/>
        <v>-9.6052500000000009E-3</v>
      </c>
      <c r="T92" s="45">
        <f t="shared" si="21"/>
        <v>1.8342240945674042E-3</v>
      </c>
      <c r="U92" s="45">
        <f t="shared" si="32"/>
        <v>1.8342240945674042</v>
      </c>
      <c r="V92" s="45">
        <v>1.4141000000000001E-2</v>
      </c>
      <c r="W92" s="45">
        <f t="shared" si="22"/>
        <v>4.6696915145751248E-3</v>
      </c>
      <c r="X92" s="45">
        <f t="shared" si="33"/>
        <v>4.669691514575125</v>
      </c>
      <c r="Y92" s="45">
        <v>8.5200000000000014</v>
      </c>
    </row>
    <row r="93" spans="1:25" x14ac:dyDescent="0.35">
      <c r="A93">
        <v>35</v>
      </c>
      <c r="B93" t="s">
        <v>105</v>
      </c>
      <c r="C93" s="45">
        <v>6.3246000000000002</v>
      </c>
      <c r="D93" s="45">
        <f t="shared" si="26"/>
        <v>0.6683264503441495</v>
      </c>
      <c r="E93" s="45">
        <f t="shared" si="23"/>
        <v>4.7638309380530979</v>
      </c>
      <c r="F93" s="45">
        <v>-15.6355</v>
      </c>
      <c r="G93" s="45">
        <f t="shared" si="27"/>
        <v>-1.56355E-2</v>
      </c>
      <c r="H93" s="45">
        <f t="shared" si="24"/>
        <v>23.645963121568087</v>
      </c>
      <c r="I93" s="45">
        <v>4.0428571428571675E-3</v>
      </c>
      <c r="J93" s="45">
        <f t="shared" si="25"/>
        <v>-8.9160086778284297E-4</v>
      </c>
      <c r="K93" s="45">
        <f t="shared" si="28"/>
        <v>-0.89160086778284298</v>
      </c>
      <c r="L93" s="45">
        <v>-9.2899999999999996E-3</v>
      </c>
      <c r="M93" s="45">
        <f t="shared" si="34"/>
        <v>5.5876136619259159E-3</v>
      </c>
      <c r="N93" s="45">
        <f t="shared" si="29"/>
        <v>5.587613661925916</v>
      </c>
      <c r="O93" s="45">
        <v>16.782</v>
      </c>
      <c r="P93" s="84">
        <f t="shared" si="20"/>
        <v>1864.6666666666667</v>
      </c>
      <c r="Q93" s="84">
        <f t="shared" si="30"/>
        <v>209.2779648335204</v>
      </c>
      <c r="R93" s="45">
        <v>-4.9872499999999995</v>
      </c>
      <c r="S93" s="45">
        <f t="shared" si="31"/>
        <v>-4.9872499999999995E-3</v>
      </c>
      <c r="T93" s="45">
        <f t="shared" si="21"/>
        <v>9.1068199633014425E-4</v>
      </c>
      <c r="U93" s="45">
        <f t="shared" si="32"/>
        <v>0.91068199633014424</v>
      </c>
      <c r="V93" s="45">
        <v>6.5699999999999995E-3</v>
      </c>
      <c r="W93" s="45">
        <f t="shared" si="22"/>
        <v>2.0746045665659811E-3</v>
      </c>
      <c r="X93" s="45">
        <f t="shared" si="33"/>
        <v>2.0746045665659811</v>
      </c>
      <c r="Y93" s="45">
        <v>8.91</v>
      </c>
    </row>
    <row r="94" spans="1:25" x14ac:dyDescent="0.35">
      <c r="A94">
        <v>36</v>
      </c>
      <c r="B94" t="s">
        <v>105</v>
      </c>
      <c r="C94" s="45">
        <v>6.8825000000000003</v>
      </c>
      <c r="D94" s="45">
        <f t="shared" si="26"/>
        <v>0.63906915765322847</v>
      </c>
      <c r="E94" s="45">
        <f t="shared" si="23"/>
        <v>4.5476161258603733</v>
      </c>
      <c r="F94" s="45">
        <v>-12.109500000000001</v>
      </c>
      <c r="G94" s="45">
        <f t="shared" si="27"/>
        <v>-1.21095E-2</v>
      </c>
      <c r="H94" s="45">
        <f t="shared" si="24"/>
        <v>18.344386718214103</v>
      </c>
      <c r="I94" s="45">
        <v>1.7332857142857164E-2</v>
      </c>
      <c r="J94" s="45">
        <f t="shared" si="25"/>
        <v>-3.8289879199093391E-3</v>
      </c>
      <c r="K94" s="45">
        <f t="shared" si="28"/>
        <v>-3.8289879199093391</v>
      </c>
      <c r="L94" s="45">
        <v>-1.2449999999999999E-2</v>
      </c>
      <c r="M94" s="45">
        <f t="shared" si="34"/>
        <v>7.5008720893453276E-3</v>
      </c>
      <c r="N94" s="45">
        <f t="shared" si="29"/>
        <v>7.5008720893453278</v>
      </c>
      <c r="O94" s="45">
        <v>30.704000000000001</v>
      </c>
      <c r="P94" s="84">
        <f t="shared" si="20"/>
        <v>3411.5555555555557</v>
      </c>
      <c r="Q94" s="84">
        <f t="shared" si="30"/>
        <v>383.5363187808382</v>
      </c>
      <c r="R94" s="45">
        <v>-12.113250000000001</v>
      </c>
      <c r="S94" s="45">
        <f t="shared" si="31"/>
        <v>-1.2113250000000001E-2</v>
      </c>
      <c r="T94" s="45">
        <f t="shared" si="21"/>
        <v>2.2156341176155681E-3</v>
      </c>
      <c r="U94" s="45">
        <f t="shared" si="32"/>
        <v>2.2156341176155681</v>
      </c>
      <c r="V94" s="45">
        <v>9.8589999999999997E-3</v>
      </c>
      <c r="W94" s="45">
        <f t="shared" si="22"/>
        <v>3.1184197921806569E-3</v>
      </c>
      <c r="X94" s="45">
        <f t="shared" si="33"/>
        <v>3.1184197921806569</v>
      </c>
      <c r="Y94" s="45">
        <v>8.8949999999999996</v>
      </c>
    </row>
    <row r="95" spans="1:25" x14ac:dyDescent="0.35">
      <c r="A95">
        <v>37</v>
      </c>
      <c r="B95" t="s">
        <v>105</v>
      </c>
      <c r="C95" s="45">
        <v>5.4674500000000004</v>
      </c>
      <c r="D95" s="45">
        <f t="shared" si="26"/>
        <v>0.7132769583743036</v>
      </c>
      <c r="E95" s="45">
        <f t="shared" si="23"/>
        <v>5.9915264503441508</v>
      </c>
      <c r="F95" s="45">
        <v>-15.388500000000001</v>
      </c>
      <c r="G95" s="45">
        <f t="shared" si="27"/>
        <v>-1.5388500000000001E-2</v>
      </c>
      <c r="H95" s="45">
        <f t="shared" si="24"/>
        <v>19.748309632089324</v>
      </c>
      <c r="I95" s="45">
        <v>3.2028571428571601E-3</v>
      </c>
      <c r="J95" s="45">
        <f t="shared" si="25"/>
        <v>-5.9938802244728152E-4</v>
      </c>
      <c r="K95" s="45">
        <f t="shared" si="28"/>
        <v>-0.59938802244728151</v>
      </c>
      <c r="L95" s="45">
        <v>-6.195E-3</v>
      </c>
      <c r="M95" s="45">
        <f t="shared" si="34"/>
        <v>3.1618435155412647E-3</v>
      </c>
      <c r="N95" s="45">
        <f t="shared" si="29"/>
        <v>3.1618435155412645</v>
      </c>
      <c r="O95" s="45">
        <v>17.210999999999999</v>
      </c>
      <c r="P95" s="84">
        <f t="shared" si="20"/>
        <v>1912.3333333333333</v>
      </c>
      <c r="Q95" s="84">
        <f t="shared" si="30"/>
        <v>182.12698412698413</v>
      </c>
      <c r="R95" s="45">
        <v>-8.1267500000000013</v>
      </c>
      <c r="S95" s="45">
        <f t="shared" si="31"/>
        <v>-8.126750000000002E-3</v>
      </c>
      <c r="T95" s="45">
        <f t="shared" si="21"/>
        <v>1.2592469765684055E-3</v>
      </c>
      <c r="U95" s="45">
        <f t="shared" si="32"/>
        <v>1.2592469765684056</v>
      </c>
      <c r="V95" s="45">
        <v>3.2524999999999998E-2</v>
      </c>
      <c r="W95" s="45">
        <f t="shared" si="22"/>
        <v>8.7151661307609853E-3</v>
      </c>
      <c r="X95" s="45">
        <f t="shared" si="33"/>
        <v>8.715166130760986</v>
      </c>
      <c r="Y95" s="45">
        <v>10.5</v>
      </c>
    </row>
    <row r="96" spans="1:25" x14ac:dyDescent="0.35">
      <c r="A96">
        <v>38</v>
      </c>
      <c r="B96" t="s">
        <v>105</v>
      </c>
      <c r="C96" s="45">
        <v>7.25875</v>
      </c>
      <c r="D96" s="45">
        <f t="shared" si="26"/>
        <v>0.61933792199278936</v>
      </c>
      <c r="E96" s="45">
        <f t="shared" si="23"/>
        <v>4.3923445427728627</v>
      </c>
      <c r="F96" s="45">
        <v>-12.7745</v>
      </c>
      <c r="G96" s="45">
        <f t="shared" si="27"/>
        <v>-1.2774499999999999E-2</v>
      </c>
      <c r="H96" s="45">
        <f t="shared" si="24"/>
        <v>19.417267281260532</v>
      </c>
      <c r="I96" s="45">
        <v>-2.1957142857142842E-2</v>
      </c>
      <c r="J96" s="45">
        <f t="shared" si="25"/>
        <v>4.8669499325371679E-3</v>
      </c>
      <c r="K96" s="45">
        <f t="shared" si="28"/>
        <v>4.8669499325371675</v>
      </c>
      <c r="L96" s="45">
        <v>-6.6129999999999994E-2</v>
      </c>
      <c r="M96" s="45">
        <f t="shared" si="34"/>
        <v>3.9976810669026704E-2</v>
      </c>
      <c r="N96" s="45">
        <f t="shared" si="29"/>
        <v>39.976810669026705</v>
      </c>
      <c r="O96" s="45">
        <v>16.433999999999997</v>
      </c>
      <c r="P96" s="84">
        <f t="shared" si="20"/>
        <v>1825.9999999999995</v>
      </c>
      <c r="Q96" s="84">
        <f t="shared" si="30"/>
        <v>205.97856739988714</v>
      </c>
      <c r="R96" s="45">
        <v>-15.001249999999999</v>
      </c>
      <c r="S96" s="45">
        <f t="shared" si="31"/>
        <v>-1.5001249999999999E-2</v>
      </c>
      <c r="T96" s="45">
        <f t="shared" si="21"/>
        <v>2.753163636200861E-3</v>
      </c>
      <c r="U96" s="45">
        <f t="shared" si="32"/>
        <v>2.7531636362008611</v>
      </c>
      <c r="V96" s="45">
        <v>2.3120000000000002E-2</v>
      </c>
      <c r="W96" s="45">
        <f t="shared" si="22"/>
        <v>7.3376459685565738E-3</v>
      </c>
      <c r="X96" s="45">
        <f t="shared" si="33"/>
        <v>7.3376459685565738</v>
      </c>
      <c r="Y96" s="45">
        <v>8.8650000000000002</v>
      </c>
    </row>
    <row r="97" spans="1:25" x14ac:dyDescent="0.35">
      <c r="A97">
        <v>39</v>
      </c>
      <c r="B97" t="s">
        <v>105</v>
      </c>
      <c r="C97" s="45">
        <v>7.0042500000000008</v>
      </c>
      <c r="D97" s="45">
        <f t="shared" si="26"/>
        <v>0.63268436578171094</v>
      </c>
      <c r="E97" s="45">
        <f t="shared" si="23"/>
        <v>5.1702966371681418</v>
      </c>
      <c r="F97" s="45">
        <v>-15.0565</v>
      </c>
      <c r="G97" s="45">
        <f t="shared" si="27"/>
        <v>-1.50565E-2</v>
      </c>
      <c r="H97" s="45">
        <f t="shared" si="24"/>
        <v>19.861342266419371</v>
      </c>
      <c r="I97" s="45">
        <v>-2.2957142857142843E-2</v>
      </c>
      <c r="J97" s="45">
        <f t="shared" si="25"/>
        <v>4.4161036365615381E-3</v>
      </c>
      <c r="K97" s="45">
        <f t="shared" si="28"/>
        <v>4.4161036365615383</v>
      </c>
      <c r="L97" s="45">
        <v>-2.0764999999999999E-2</v>
      </c>
      <c r="M97" s="45">
        <f t="shared" si="34"/>
        <v>1.0893863394677876E-2</v>
      </c>
      <c r="N97" s="45">
        <f t="shared" si="29"/>
        <v>10.893863394677876</v>
      </c>
      <c r="O97" s="45">
        <v>29.975999999999999</v>
      </c>
      <c r="P97" s="84">
        <f t="shared" si="20"/>
        <v>3330.6666666666665</v>
      </c>
      <c r="Q97" s="84">
        <f t="shared" si="30"/>
        <v>326.05645292869963</v>
      </c>
      <c r="R97" s="45">
        <v>-13.244250000000001</v>
      </c>
      <c r="S97" s="45">
        <f t="shared" si="31"/>
        <v>-1.3244250000000001E-2</v>
      </c>
      <c r="T97" s="45">
        <f t="shared" si="21"/>
        <v>2.1094649558305949E-3</v>
      </c>
      <c r="U97" s="45">
        <f t="shared" si="32"/>
        <v>2.1094649558305951</v>
      </c>
      <c r="V97" s="45">
        <v>1.7239999999999998E-2</v>
      </c>
      <c r="W97" s="45">
        <f t="shared" si="22"/>
        <v>4.748391889488536E-3</v>
      </c>
      <c r="X97" s="45">
        <f t="shared" si="33"/>
        <v>4.748391889488536</v>
      </c>
      <c r="Y97" s="45">
        <v>10.215</v>
      </c>
    </row>
    <row r="98" spans="1:25" x14ac:dyDescent="0.35">
      <c r="A98">
        <v>40</v>
      </c>
      <c r="B98" t="s">
        <v>105</v>
      </c>
      <c r="C98" s="45">
        <v>8.3765499999999999</v>
      </c>
      <c r="D98" s="45">
        <f t="shared" si="26"/>
        <v>0.56071845296624057</v>
      </c>
      <c r="E98" s="45">
        <f t="shared" si="23"/>
        <v>4.0775445899705014</v>
      </c>
      <c r="F98" s="45">
        <v>-14.9345</v>
      </c>
      <c r="G98" s="45">
        <f t="shared" si="27"/>
        <v>-1.49345E-2</v>
      </c>
      <c r="H98" s="45">
        <f t="shared" si="24"/>
        <v>22.138579025495613</v>
      </c>
      <c r="I98" s="45">
        <v>-3.8657142857142834E-2</v>
      </c>
      <c r="J98" s="45">
        <f t="shared" si="25"/>
        <v>8.3565239084006353E-3</v>
      </c>
      <c r="K98" s="45">
        <f t="shared" si="28"/>
        <v>8.3565239084006357</v>
      </c>
      <c r="L98" s="45">
        <v>-1.0345E-2</v>
      </c>
      <c r="M98" s="45">
        <f t="shared" si="34"/>
        <v>6.0989485872488649E-3</v>
      </c>
      <c r="N98" s="45">
        <f t="shared" si="29"/>
        <v>6.0989485872488647</v>
      </c>
      <c r="O98" s="45">
        <v>20.202500000000001</v>
      </c>
      <c r="P98" s="84">
        <f t="shared" si="20"/>
        <v>2244.7222222222222</v>
      </c>
      <c r="Q98" s="84">
        <f t="shared" si="30"/>
        <v>246.94413885833026</v>
      </c>
      <c r="R98" s="45">
        <v>-13.365750000000002</v>
      </c>
      <c r="S98" s="45">
        <f t="shared" si="31"/>
        <v>-1.3365750000000003E-2</v>
      </c>
      <c r="T98" s="45">
        <f t="shared" si="21"/>
        <v>2.3922841688930802E-3</v>
      </c>
      <c r="U98" s="45">
        <f t="shared" si="32"/>
        <v>2.39228416889308</v>
      </c>
      <c r="V98" s="45">
        <v>1.2630000000000001E-2</v>
      </c>
      <c r="W98" s="45">
        <f t="shared" si="22"/>
        <v>3.9091931701208714E-3</v>
      </c>
      <c r="X98" s="45">
        <f t="shared" si="33"/>
        <v>3.9091931701208713</v>
      </c>
      <c r="Y98" s="45">
        <v>9.09</v>
      </c>
    </row>
    <row r="99" spans="1:25" x14ac:dyDescent="0.35">
      <c r="A99">
        <v>41</v>
      </c>
      <c r="B99" t="s">
        <v>105</v>
      </c>
      <c r="C99" s="45">
        <v>7.0069999999999997</v>
      </c>
      <c r="D99" s="45">
        <f t="shared" si="26"/>
        <v>0.63254015077023928</v>
      </c>
      <c r="E99" s="45">
        <f t="shared" si="23"/>
        <v>4.827546430678467</v>
      </c>
      <c r="F99" s="45">
        <v>-16.923000000000002</v>
      </c>
      <c r="G99" s="45">
        <f t="shared" si="27"/>
        <v>-1.6923000000000001E-2</v>
      </c>
      <c r="H99" s="45">
        <f t="shared" si="24"/>
        <v>23.902972828959847</v>
      </c>
      <c r="I99" s="45">
        <v>-3.4857142857142837E-2</v>
      </c>
      <c r="J99" s="45">
        <f t="shared" si="25"/>
        <v>7.1796488306427788E-3</v>
      </c>
      <c r="K99" s="45">
        <f t="shared" si="28"/>
        <v>7.1796488306427788</v>
      </c>
      <c r="L99" s="45">
        <v>-5.5149999999999999E-3</v>
      </c>
      <c r="M99" s="45">
        <f t="shared" si="34"/>
        <v>3.0980291703461022E-3</v>
      </c>
      <c r="N99" s="45">
        <f t="shared" si="29"/>
        <v>3.098029170346102</v>
      </c>
      <c r="O99" s="45">
        <v>16.3125</v>
      </c>
      <c r="P99" s="84">
        <f t="shared" si="20"/>
        <v>1812.5</v>
      </c>
      <c r="Q99" s="84">
        <f t="shared" si="30"/>
        <v>189.98951781970649</v>
      </c>
      <c r="R99" s="45">
        <v>-5.4387499999999989</v>
      </c>
      <c r="S99" s="45">
        <f t="shared" si="31"/>
        <v>-5.4387499999999991E-3</v>
      </c>
      <c r="T99" s="45">
        <f t="shared" si="21"/>
        <v>9.275429686200126E-4</v>
      </c>
      <c r="U99" s="45">
        <f t="shared" si="32"/>
        <v>0.92754296862001262</v>
      </c>
      <c r="V99" s="45">
        <v>1.5630000000000002E-2</v>
      </c>
      <c r="W99" s="45">
        <f t="shared" si="22"/>
        <v>4.6095472102570317E-3</v>
      </c>
      <c r="X99" s="45">
        <f t="shared" si="33"/>
        <v>4.6095472102570314</v>
      </c>
      <c r="Y99" s="45">
        <v>9.5400000000000009</v>
      </c>
    </row>
    <row r="100" spans="1:25" x14ac:dyDescent="0.35">
      <c r="A100">
        <v>42</v>
      </c>
      <c r="B100" t="s">
        <v>105</v>
      </c>
      <c r="C100" s="45">
        <v>7.7574000000000005</v>
      </c>
      <c r="D100" s="45">
        <f t="shared" si="26"/>
        <v>0.59318780727630283</v>
      </c>
      <c r="E100" s="45">
        <f t="shared" si="23"/>
        <v>4.6695744188790549</v>
      </c>
      <c r="F100" s="45">
        <v>-16.061</v>
      </c>
      <c r="G100" s="45">
        <f t="shared" si="27"/>
        <v>-1.6060999999999999E-2</v>
      </c>
      <c r="H100" s="45">
        <f t="shared" si="24"/>
        <v>21.993807608616766</v>
      </c>
      <c r="I100" s="45">
        <v>-1.9257142857142834E-2</v>
      </c>
      <c r="J100" s="45">
        <f t="shared" si="25"/>
        <v>3.8455330197154337E-3</v>
      </c>
      <c r="K100" s="45">
        <f t="shared" si="28"/>
        <v>3.8455330197154338</v>
      </c>
      <c r="L100" s="45">
        <v>-1.3475000000000001E-2</v>
      </c>
      <c r="M100" s="45">
        <f t="shared" si="34"/>
        <v>7.3387490305771245E-3</v>
      </c>
      <c r="N100" s="45">
        <f t="shared" si="29"/>
        <v>7.3387490305771248</v>
      </c>
      <c r="O100" s="45">
        <v>26.753999999999998</v>
      </c>
      <c r="P100" s="84">
        <f t="shared" si="20"/>
        <v>2972.6666666666661</v>
      </c>
      <c r="Q100" s="84">
        <f t="shared" si="30"/>
        <v>302.10027100271003</v>
      </c>
      <c r="R100" s="45">
        <v>-12.166250000000002</v>
      </c>
      <c r="S100" s="45">
        <f t="shared" si="31"/>
        <v>-1.2166250000000002E-2</v>
      </c>
      <c r="T100" s="45">
        <f t="shared" si="21"/>
        <v>2.0116154100529109E-3</v>
      </c>
      <c r="U100" s="45">
        <f t="shared" si="32"/>
        <v>2.0116154100529111</v>
      </c>
      <c r="V100" s="45">
        <v>1.866E-3</v>
      </c>
      <c r="W100" s="45">
        <f t="shared" si="22"/>
        <v>5.3353658536585381E-4</v>
      </c>
      <c r="X100" s="45">
        <f t="shared" si="33"/>
        <v>0.5335365853658538</v>
      </c>
      <c r="Y100" s="45">
        <v>9.8399999999999981</v>
      </c>
    </row>
    <row r="101" spans="1:25" x14ac:dyDescent="0.35">
      <c r="A101">
        <v>43</v>
      </c>
      <c r="B101" t="s">
        <v>105</v>
      </c>
      <c r="C101" s="45">
        <v>6.4076000000000004</v>
      </c>
      <c r="D101" s="45">
        <f t="shared" si="26"/>
        <v>0.66397377908882338</v>
      </c>
      <c r="E101" s="45">
        <f t="shared" si="23"/>
        <v>6.573340412979352</v>
      </c>
      <c r="F101" s="45">
        <v>-15.453999999999999</v>
      </c>
      <c r="G101" s="45">
        <f t="shared" si="27"/>
        <v>-1.5453999999999999E-2</v>
      </c>
      <c r="H101" s="45">
        <f t="shared" si="24"/>
        <v>16.82746276985792</v>
      </c>
      <c r="I101" s="45">
        <v>1.8852857142857157E-2</v>
      </c>
      <c r="J101" s="45">
        <f t="shared" si="25"/>
        <v>-2.9935861447115486E-3</v>
      </c>
      <c r="K101" s="45">
        <f t="shared" si="28"/>
        <v>-2.9935861447115486</v>
      </c>
      <c r="L101" s="45">
        <v>-1.8384999999999999E-2</v>
      </c>
      <c r="M101" s="45">
        <f t="shared" si="34"/>
        <v>7.9617179295635877E-3</v>
      </c>
      <c r="N101" s="45">
        <f t="shared" si="29"/>
        <v>7.961717929563588</v>
      </c>
      <c r="O101" s="45">
        <v>26.488</v>
      </c>
      <c r="P101" s="84">
        <f t="shared" si="20"/>
        <v>2943.1111111111113</v>
      </c>
      <c r="Q101" s="84">
        <f t="shared" si="30"/>
        <v>237.82716049382717</v>
      </c>
      <c r="R101" s="45">
        <v>-23.296250000000001</v>
      </c>
      <c r="S101" s="45">
        <f t="shared" si="31"/>
        <v>-2.3296250000000001E-2</v>
      </c>
      <c r="T101" s="45">
        <f t="shared" si="21"/>
        <v>3.0628387045053712E-3</v>
      </c>
      <c r="U101" s="45">
        <f t="shared" si="32"/>
        <v>3.0628387045053711</v>
      </c>
      <c r="V101" s="45">
        <v>2.053E-2</v>
      </c>
      <c r="W101" s="45">
        <f t="shared" si="22"/>
        <v>4.667576082367079E-3</v>
      </c>
      <c r="X101" s="45">
        <f t="shared" si="33"/>
        <v>4.6675760823670789</v>
      </c>
      <c r="Y101" s="45">
        <v>12.375</v>
      </c>
    </row>
    <row r="102" spans="1:25" x14ac:dyDescent="0.35">
      <c r="A102">
        <v>44</v>
      </c>
      <c r="B102" t="s">
        <v>105</v>
      </c>
      <c r="C102" s="45">
        <v>6.1978</v>
      </c>
      <c r="D102" s="45">
        <f t="shared" si="26"/>
        <v>0.67497607341855126</v>
      </c>
      <c r="E102" s="45">
        <f t="shared" si="23"/>
        <v>4.584437490658801</v>
      </c>
      <c r="F102" s="45">
        <v>-14.881499999999999</v>
      </c>
      <c r="G102" s="45">
        <f t="shared" si="27"/>
        <v>-1.4881499999999999E-2</v>
      </c>
      <c r="H102" s="45">
        <f t="shared" si="24"/>
        <v>23.619024492149912</v>
      </c>
      <c r="I102" s="45">
        <v>-3.7271428571428317E-3</v>
      </c>
      <c r="J102" s="45">
        <f t="shared" si="25"/>
        <v>8.6263711523615718E-4</v>
      </c>
      <c r="K102" s="45">
        <f t="shared" si="28"/>
        <v>0.86263711523615716</v>
      </c>
      <c r="L102" s="45">
        <v>-3.9900000000000005E-3</v>
      </c>
      <c r="M102" s="45">
        <f t="shared" si="34"/>
        <v>2.5185673328561313E-3</v>
      </c>
      <c r="N102" s="45">
        <f t="shared" si="29"/>
        <v>2.5185673328561311</v>
      </c>
      <c r="O102" s="45">
        <v>17.859000000000002</v>
      </c>
      <c r="P102" s="84">
        <f t="shared" si="20"/>
        <v>1984.3333333333335</v>
      </c>
      <c r="Q102" s="84">
        <f t="shared" si="30"/>
        <v>233.72595210051043</v>
      </c>
      <c r="R102" s="45">
        <v>-21.445250000000001</v>
      </c>
      <c r="S102" s="45">
        <f t="shared" si="31"/>
        <v>-2.1445250000000003E-2</v>
      </c>
      <c r="T102" s="45">
        <f t="shared" si="21"/>
        <v>4.1096680034400888E-3</v>
      </c>
      <c r="U102" s="45">
        <f t="shared" si="32"/>
        <v>4.1096680034400892</v>
      </c>
      <c r="V102" s="45">
        <v>8.2974999999999993E-3</v>
      </c>
      <c r="W102" s="45">
        <f t="shared" si="22"/>
        <v>2.7497121637333876E-3</v>
      </c>
      <c r="X102" s="45">
        <f t="shared" si="33"/>
        <v>2.7497121637333874</v>
      </c>
      <c r="Y102" s="45">
        <v>8.49</v>
      </c>
    </row>
    <row r="103" spans="1:25" x14ac:dyDescent="0.35">
      <c r="A103">
        <v>45</v>
      </c>
      <c r="B103" t="s">
        <v>105</v>
      </c>
      <c r="C103" s="45">
        <v>8.5239499999999992</v>
      </c>
      <c r="D103" s="45">
        <f t="shared" si="26"/>
        <v>0.55298852835136025</v>
      </c>
      <c r="E103" s="45">
        <f t="shared" si="23"/>
        <v>4.6052884641101288</v>
      </c>
      <c r="F103" s="45">
        <v>-15.576999999999998</v>
      </c>
      <c r="G103" s="45">
        <f t="shared" si="27"/>
        <v>-1.5576999999999999E-2</v>
      </c>
      <c r="H103" s="45">
        <f t="shared" si="24"/>
        <v>20.163040778640017</v>
      </c>
      <c r="I103" s="45">
        <v>-1.0957142857142832E-2</v>
      </c>
      <c r="J103" s="45">
        <f t="shared" si="25"/>
        <v>2.0682659655203318E-3</v>
      </c>
      <c r="K103" s="45">
        <f t="shared" si="28"/>
        <v>2.0682659655203319</v>
      </c>
      <c r="L103" s="45">
        <v>-1.32E-2</v>
      </c>
      <c r="M103" s="45">
        <f t="shared" si="34"/>
        <v>6.7953458058816803E-3</v>
      </c>
      <c r="N103" s="45">
        <f t="shared" si="29"/>
        <v>6.7953458058816807</v>
      </c>
      <c r="O103" s="45">
        <v>24.141999999999999</v>
      </c>
      <c r="P103" s="84">
        <f t="shared" si="20"/>
        <v>2682.4444444444443</v>
      </c>
      <c r="Q103" s="84">
        <f t="shared" si="30"/>
        <v>257.67958159888997</v>
      </c>
      <c r="R103" s="45">
        <v>-11.083750000000002</v>
      </c>
      <c r="S103" s="45">
        <f t="shared" si="31"/>
        <v>-1.1083750000000002E-2</v>
      </c>
      <c r="T103" s="45">
        <f t="shared" si="21"/>
        <v>1.7322848527819713E-3</v>
      </c>
      <c r="U103" s="45">
        <f t="shared" si="32"/>
        <v>1.7322848527819712</v>
      </c>
      <c r="V103" s="45">
        <v>9.0000000000000011E-3</v>
      </c>
      <c r="W103" s="45">
        <f t="shared" si="22"/>
        <v>2.4324249191508287E-3</v>
      </c>
      <c r="X103" s="45">
        <f t="shared" si="33"/>
        <v>2.4324249191508285</v>
      </c>
      <c r="Y103" s="45">
        <v>10.41</v>
      </c>
    </row>
    <row r="104" spans="1:25" x14ac:dyDescent="0.35">
      <c r="A104">
        <v>46</v>
      </c>
      <c r="B104" t="s">
        <v>105</v>
      </c>
      <c r="C104" s="45">
        <v>8.41995</v>
      </c>
      <c r="D104" s="45">
        <f t="shared" si="26"/>
        <v>0.55844247787610624</v>
      </c>
      <c r="E104" s="45">
        <f t="shared" ref="E104:E109" si="35">(D104/0.5)*($C$3/$C$2*Y104)</f>
        <v>4.0274871504424787</v>
      </c>
      <c r="F104" s="45">
        <v>-16.806000000000001</v>
      </c>
      <c r="G104" s="45">
        <f t="shared" si="27"/>
        <v>-1.6806000000000001E-2</v>
      </c>
      <c r="H104" s="45">
        <f t="shared" ref="H104:H109" si="36">(-G104*$F$1*$F$3)/($F$4*$F$2*0.6*Y104*10^-3)</f>
        <v>25.120111699746957</v>
      </c>
      <c r="I104" s="45">
        <v>-2.045714285714284E-2</v>
      </c>
      <c r="J104" s="45">
        <f t="shared" ref="J104:J109" si="37">(-I104*I$1*I$3)/(I$4*I$2*0.6*$Y104*10^-3)</f>
        <v>4.4590160741698063E-3</v>
      </c>
      <c r="K104" s="45">
        <f t="shared" si="28"/>
        <v>4.4590160741698064</v>
      </c>
      <c r="L104" s="45">
        <v>-1.9799999999999998E-2</v>
      </c>
      <c r="M104" s="45">
        <f t="shared" si="34"/>
        <v>1.1770307793548799E-2</v>
      </c>
      <c r="N104" s="45">
        <f t="shared" si="29"/>
        <v>11.770307793548799</v>
      </c>
      <c r="O104" s="45">
        <v>22.838000000000001</v>
      </c>
      <c r="P104" s="84">
        <f t="shared" si="20"/>
        <v>2537.5555555555557</v>
      </c>
      <c r="Q104" s="84">
        <f t="shared" si="30"/>
        <v>281.48148148148147</v>
      </c>
      <c r="R104" s="45">
        <v>-8.5522500000000008</v>
      </c>
      <c r="S104" s="45">
        <f t="shared" si="31"/>
        <v>-8.5522500000000008E-3</v>
      </c>
      <c r="T104" s="45">
        <f t="shared" si="21"/>
        <v>1.5434692179700498E-3</v>
      </c>
      <c r="U104" s="45">
        <f t="shared" si="32"/>
        <v>1.5434692179700498</v>
      </c>
      <c r="V104" s="45">
        <v>3.1965000000000006E-3</v>
      </c>
      <c r="W104" s="45">
        <f t="shared" si="22"/>
        <v>9.9760046225208792E-4</v>
      </c>
      <c r="X104" s="45">
        <f t="shared" si="33"/>
        <v>0.99760046225208787</v>
      </c>
      <c r="Y104" s="45">
        <v>9.0150000000000006</v>
      </c>
    </row>
    <row r="105" spans="1:25" x14ac:dyDescent="0.35">
      <c r="A105">
        <v>47</v>
      </c>
      <c r="B105" t="s">
        <v>105</v>
      </c>
      <c r="C105" s="45">
        <v>7.8512500000000003</v>
      </c>
      <c r="D105" s="45">
        <f t="shared" si="26"/>
        <v>0.5882661422484432</v>
      </c>
      <c r="E105" s="45">
        <f t="shared" si="35"/>
        <v>3.416649754178958</v>
      </c>
      <c r="F105" s="45">
        <v>-15.834499999999998</v>
      </c>
      <c r="G105" s="45">
        <f t="shared" si="27"/>
        <v>-1.5834499999999998E-2</v>
      </c>
      <c r="H105" s="45">
        <f t="shared" si="36"/>
        <v>29.389396746647886</v>
      </c>
      <c r="I105" s="45">
        <v>-2.0657142857142832E-2</v>
      </c>
      <c r="J105" s="45">
        <f t="shared" si="37"/>
        <v>5.591050607127771E-3</v>
      </c>
      <c r="K105" s="45">
        <f t="shared" si="28"/>
        <v>5.5910506071277712</v>
      </c>
      <c r="L105" s="45">
        <v>-1.0145000000000001E-2</v>
      </c>
      <c r="M105" s="45">
        <f t="shared" si="34"/>
        <v>7.4886544486076805E-3</v>
      </c>
      <c r="N105" s="45">
        <f t="shared" si="29"/>
        <v>7.4886544486076803</v>
      </c>
      <c r="O105" s="45">
        <v>29.515000000000001</v>
      </c>
      <c r="P105" s="84">
        <f t="shared" si="20"/>
        <v>3279.4444444444443</v>
      </c>
      <c r="Q105" s="84">
        <f t="shared" si="30"/>
        <v>451.71411080501991</v>
      </c>
      <c r="R105" s="45">
        <v>-12.97025</v>
      </c>
      <c r="S105" s="45">
        <f t="shared" si="31"/>
        <v>-1.2970250000000001E-2</v>
      </c>
      <c r="T105" s="45">
        <f t="shared" si="21"/>
        <v>2.9066654095063187E-3</v>
      </c>
      <c r="U105" s="45">
        <f t="shared" si="32"/>
        <v>2.9066654095063189</v>
      </c>
      <c r="V105" s="45">
        <v>3.496E-3</v>
      </c>
      <c r="W105" s="45">
        <f t="shared" si="22"/>
        <v>1.3548227082281453E-3</v>
      </c>
      <c r="X105" s="45">
        <f t="shared" si="33"/>
        <v>1.3548227082281452</v>
      </c>
      <c r="Y105" s="45">
        <v>7.26</v>
      </c>
    </row>
    <row r="106" spans="1:25" x14ac:dyDescent="0.35">
      <c r="A106">
        <v>48</v>
      </c>
      <c r="B106" t="s">
        <v>105</v>
      </c>
      <c r="C106" s="45">
        <v>8.7528499999999987</v>
      </c>
      <c r="D106" s="45">
        <f t="shared" si="26"/>
        <v>0.54098459521468378</v>
      </c>
      <c r="E106" s="45">
        <f t="shared" si="35"/>
        <v>3.0186940412979362</v>
      </c>
      <c r="F106" s="45">
        <v>-16.644500000000001</v>
      </c>
      <c r="G106" s="45">
        <f t="shared" si="27"/>
        <v>-1.66445E-2</v>
      </c>
      <c r="H106" s="45">
        <f t="shared" si="36"/>
        <v>32.15507150045611</v>
      </c>
      <c r="I106" s="45">
        <v>-1.6857142857142834E-2</v>
      </c>
      <c r="J106" s="45">
        <f t="shared" si="37"/>
        <v>4.7489713153717507E-3</v>
      </c>
      <c r="K106" s="45">
        <f t="shared" si="28"/>
        <v>4.748971315371751</v>
      </c>
      <c r="L106" s="45">
        <v>-1.7375000000000002E-2</v>
      </c>
      <c r="M106" s="45">
        <f t="shared" si="34"/>
        <v>1.3349621792729355E-2</v>
      </c>
      <c r="N106" s="45">
        <f t="shared" si="29"/>
        <v>13.349621792729355</v>
      </c>
      <c r="O106" s="45">
        <v>32.151000000000003</v>
      </c>
      <c r="P106" s="84">
        <f t="shared" si="20"/>
        <v>3572.3333333333335</v>
      </c>
      <c r="Q106" s="84">
        <f t="shared" si="30"/>
        <v>512.16248506571083</v>
      </c>
      <c r="R106" s="45">
        <v>-14.314250000000001</v>
      </c>
      <c r="S106" s="45">
        <f t="shared" si="31"/>
        <v>-1.4314250000000001E-2</v>
      </c>
      <c r="T106" s="45">
        <f t="shared" si="21"/>
        <v>3.3389329805996468E-3</v>
      </c>
      <c r="U106" s="45">
        <f t="shared" si="32"/>
        <v>3.3389329805996466</v>
      </c>
      <c r="V106" s="45">
        <v>2.4935000000000001E-3</v>
      </c>
      <c r="W106" s="45">
        <f t="shared" si="22"/>
        <v>1.0058027636598323E-3</v>
      </c>
      <c r="X106" s="45">
        <f t="shared" si="33"/>
        <v>1.0058027636598323</v>
      </c>
      <c r="Y106" s="45">
        <v>6.9750000000000005</v>
      </c>
    </row>
    <row r="107" spans="1:25" x14ac:dyDescent="0.35">
      <c r="A107">
        <v>49</v>
      </c>
      <c r="B107" t="s">
        <v>105</v>
      </c>
      <c r="C107" s="45">
        <v>6.0281500000000001</v>
      </c>
      <c r="D107" s="45">
        <f t="shared" si="26"/>
        <v>0.68387282858079323</v>
      </c>
      <c r="E107" s="45">
        <f t="shared" si="35"/>
        <v>4.2632632133726664</v>
      </c>
      <c r="F107" s="45">
        <v>-18.223500000000001</v>
      </c>
      <c r="G107" s="45">
        <f t="shared" si="27"/>
        <v>-1.82235E-2</v>
      </c>
      <c r="H107" s="45">
        <f t="shared" si="36"/>
        <v>31.512141521912064</v>
      </c>
      <c r="I107" s="45">
        <v>-4.7157142857142842E-2</v>
      </c>
      <c r="J107" s="45">
        <f t="shared" si="37"/>
        <v>1.1891330900147806E-2</v>
      </c>
      <c r="K107" s="45">
        <f t="shared" si="28"/>
        <v>11.891330900147805</v>
      </c>
      <c r="L107" s="45">
        <v>-6.5700000000000003E-4</v>
      </c>
      <c r="M107" s="45">
        <f t="shared" si="34"/>
        <v>4.5183193090066193E-4</v>
      </c>
      <c r="N107" s="45">
        <f t="shared" si="29"/>
        <v>0.45183193090066193</v>
      </c>
      <c r="O107" s="45">
        <v>15.237500000000001</v>
      </c>
      <c r="P107" s="84">
        <f t="shared" si="20"/>
        <v>1693.0555555555554</v>
      </c>
      <c r="Q107" s="84">
        <f t="shared" si="30"/>
        <v>217.26731543863397</v>
      </c>
      <c r="R107" s="45">
        <v>-13.005749999999999</v>
      </c>
      <c r="S107" s="45">
        <f t="shared" si="31"/>
        <v>-1.3005749999999998E-2</v>
      </c>
      <c r="T107" s="45">
        <f t="shared" si="21"/>
        <v>2.7154506011580117E-3</v>
      </c>
      <c r="U107" s="45">
        <f t="shared" si="32"/>
        <v>2.7154506011580115</v>
      </c>
      <c r="V107" s="45">
        <v>6.4250000000000002E-2</v>
      </c>
      <c r="W107" s="45">
        <f t="shared" si="22"/>
        <v>2.3197649648695511E-2</v>
      </c>
      <c r="X107" s="45">
        <f t="shared" si="33"/>
        <v>23.19764964869551</v>
      </c>
      <c r="Y107" s="45">
        <v>7.7925000000000013</v>
      </c>
    </row>
    <row r="108" spans="1:25" x14ac:dyDescent="0.35">
      <c r="A108">
        <v>50</v>
      </c>
      <c r="B108" t="s">
        <v>105</v>
      </c>
      <c r="C108" s="45">
        <v>6.9370500000000002</v>
      </c>
      <c r="D108" s="45">
        <f t="shared" si="26"/>
        <v>0.63620845624385458</v>
      </c>
      <c r="E108" s="45">
        <f t="shared" si="35"/>
        <v>4.0119305250737476</v>
      </c>
      <c r="F108" s="45">
        <v>-17.9465</v>
      </c>
      <c r="G108" s="45">
        <f t="shared" si="27"/>
        <v>-1.7946500000000001E-2</v>
      </c>
      <c r="H108" s="45">
        <f t="shared" si="36"/>
        <v>30.678824987669188</v>
      </c>
      <c r="I108" s="45">
        <v>-5.6957142857142845E-2</v>
      </c>
      <c r="J108" s="45">
        <f t="shared" si="37"/>
        <v>1.4198550395894216E-2</v>
      </c>
      <c r="K108" s="45">
        <f t="shared" si="28"/>
        <v>14.198550395894216</v>
      </c>
      <c r="L108" s="45">
        <v>-1.7090000000000001E-2</v>
      </c>
      <c r="M108" s="45">
        <f t="shared" si="34"/>
        <v>1.1618938257478797E-2</v>
      </c>
      <c r="N108" s="45">
        <f t="shared" si="29"/>
        <v>11.618938257478797</v>
      </c>
      <c r="O108" s="45">
        <v>11.3345</v>
      </c>
      <c r="P108" s="84">
        <f t="shared" si="20"/>
        <v>1259.3888888888889</v>
      </c>
      <c r="Q108" s="84">
        <f t="shared" si="30"/>
        <v>159.77023645910418</v>
      </c>
      <c r="R108" s="45">
        <v>-16.317250000000001</v>
      </c>
      <c r="S108" s="45">
        <f t="shared" si="31"/>
        <v>-1.6317250000000002E-2</v>
      </c>
      <c r="T108" s="45">
        <f t="shared" si="21"/>
        <v>3.3679551850341574E-3</v>
      </c>
      <c r="U108" s="45">
        <f t="shared" si="32"/>
        <v>3.3679551850341576</v>
      </c>
      <c r="V108" s="45">
        <v>2.2855E-2</v>
      </c>
      <c r="W108" s="45">
        <f t="shared" si="22"/>
        <v>8.1576470324286662E-3</v>
      </c>
      <c r="X108" s="45">
        <f t="shared" si="33"/>
        <v>8.1576470324286667</v>
      </c>
      <c r="Y108" s="45">
        <v>7.8825000000000012</v>
      </c>
    </row>
    <row r="109" spans="1:25" x14ac:dyDescent="0.35">
      <c r="A109">
        <v>51</v>
      </c>
      <c r="B109" t="s">
        <v>105</v>
      </c>
      <c r="C109" s="45">
        <v>6.6565500000000002</v>
      </c>
      <c r="D109" s="45">
        <f t="shared" si="26"/>
        <v>0.65091838741396268</v>
      </c>
      <c r="E109" s="45">
        <f t="shared" si="35"/>
        <v>4.1710850265486732</v>
      </c>
      <c r="F109" s="45">
        <v>-18.738500000000002</v>
      </c>
      <c r="G109" s="45">
        <f t="shared" si="27"/>
        <v>-1.8738500000000002E-2</v>
      </c>
      <c r="H109" s="45">
        <f t="shared" si="36"/>
        <v>31.522833278344809</v>
      </c>
      <c r="I109" s="45">
        <v>5.212857142857158E-3</v>
      </c>
      <c r="J109" s="45">
        <f t="shared" si="37"/>
        <v>-1.2788013859825261E-3</v>
      </c>
      <c r="K109" s="45">
        <f t="shared" si="28"/>
        <v>-1.278801385982526</v>
      </c>
      <c r="L109" s="45">
        <v>4.5450000000000004E-3</v>
      </c>
      <c r="M109" s="45">
        <f t="shared" si="34"/>
        <v>-3.0408131314955985E-3</v>
      </c>
      <c r="N109" s="45">
        <f t="shared" si="29"/>
        <v>-3.0408131314955984</v>
      </c>
      <c r="O109" s="45">
        <v>12.0815</v>
      </c>
      <c r="P109" s="84">
        <f t="shared" si="20"/>
        <v>1342.3888888888889</v>
      </c>
      <c r="Q109" s="84">
        <f t="shared" si="30"/>
        <v>167.58912470522958</v>
      </c>
      <c r="R109" s="45">
        <v>-19.190750000000001</v>
      </c>
      <c r="S109" s="45">
        <f t="shared" si="31"/>
        <v>-1.9190750000000003E-2</v>
      </c>
      <c r="T109" s="45">
        <f t="shared" si="21"/>
        <v>3.898008194122427E-3</v>
      </c>
      <c r="U109" s="45">
        <f t="shared" si="32"/>
        <v>3.8980081941224269</v>
      </c>
      <c r="V109" s="45">
        <v>9.9444499999999991E-2</v>
      </c>
      <c r="W109" s="45">
        <f t="shared" si="22"/>
        <v>3.4929785316585776E-2</v>
      </c>
      <c r="X109" s="45">
        <f t="shared" si="33"/>
        <v>34.929785316585779</v>
      </c>
      <c r="Y109" s="45">
        <v>8.01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F410-A57C-404E-8395-72ADCC3F0746}">
  <dimension ref="B1:M216"/>
  <sheetViews>
    <sheetView topLeftCell="A85" workbookViewId="0">
      <selection activeCell="B152" sqref="B152:I157"/>
    </sheetView>
  </sheetViews>
  <sheetFormatPr baseColWidth="10" defaultRowHeight="14.5" x14ac:dyDescent="0.35"/>
  <cols>
    <col min="2" max="2" width="20.54296875" bestFit="1" customWidth="1"/>
    <col min="3" max="3" width="11.90625" customWidth="1"/>
    <col min="5" max="6" width="11.54296875" bestFit="1" customWidth="1"/>
    <col min="9" max="9" width="11.54296875" bestFit="1" customWidth="1"/>
  </cols>
  <sheetData>
    <row r="1" spans="2:13" x14ac:dyDescent="0.35">
      <c r="B1" s="89" t="s">
        <v>88</v>
      </c>
      <c r="C1" s="89"/>
      <c r="D1" s="89"/>
    </row>
    <row r="2" spans="2:13" x14ac:dyDescent="0.35">
      <c r="B2" t="s">
        <v>89</v>
      </c>
      <c r="C2" t="s">
        <v>87</v>
      </c>
      <c r="D2" t="s">
        <v>90</v>
      </c>
    </row>
    <row r="3" spans="2:13" x14ac:dyDescent="0.35">
      <c r="B3">
        <v>0</v>
      </c>
      <c r="C3">
        <v>0.67</v>
      </c>
      <c r="D3">
        <f>C3-0.026</f>
        <v>0.64400000000000002</v>
      </c>
      <c r="L3" t="s">
        <v>93</v>
      </c>
    </row>
    <row r="4" spans="2:13" x14ac:dyDescent="0.35">
      <c r="B4">
        <v>0</v>
      </c>
      <c r="C4">
        <v>0.628</v>
      </c>
      <c r="D4">
        <f>C4-0.024</f>
        <v>0.60399999999999998</v>
      </c>
      <c r="L4" t="s">
        <v>94</v>
      </c>
      <c r="M4">
        <f>-0.0005</f>
        <v>-5.0000000000000001E-4</v>
      </c>
    </row>
    <row r="5" spans="2:13" x14ac:dyDescent="0.35">
      <c r="B5">
        <v>0</v>
      </c>
      <c r="C5">
        <v>0.60699999999999998</v>
      </c>
      <c r="D5">
        <f>C5-0.03</f>
        <v>0.57699999999999996</v>
      </c>
      <c r="L5" t="s">
        <v>95</v>
      </c>
      <c r="M5">
        <v>0.60119999999999996</v>
      </c>
    </row>
    <row r="6" spans="2:13" x14ac:dyDescent="0.35">
      <c r="B6">
        <v>0</v>
      </c>
      <c r="C6">
        <v>0.63700000000000001</v>
      </c>
      <c r="D6">
        <f>C6-0.027</f>
        <v>0.61</v>
      </c>
    </row>
    <row r="7" spans="2:13" x14ac:dyDescent="0.35">
      <c r="B7">
        <v>125</v>
      </c>
      <c r="C7">
        <v>0.54500000000000004</v>
      </c>
      <c r="D7">
        <f>C7-0.029</f>
        <v>0.51600000000000001</v>
      </c>
    </row>
    <row r="8" spans="2:13" x14ac:dyDescent="0.35">
      <c r="B8">
        <v>125</v>
      </c>
      <c r="C8">
        <v>0.55000000000000004</v>
      </c>
      <c r="D8">
        <f>C8-0.028</f>
        <v>0.52200000000000002</v>
      </c>
      <c r="L8" t="s">
        <v>101</v>
      </c>
    </row>
    <row r="9" spans="2:13" x14ac:dyDescent="0.35">
      <c r="B9">
        <v>250</v>
      </c>
      <c r="C9">
        <v>0.497</v>
      </c>
      <c r="D9">
        <f t="shared" ref="D9:D10" si="0">C9-0.027</f>
        <v>0.47</v>
      </c>
    </row>
    <row r="10" spans="2:13" x14ac:dyDescent="0.35">
      <c r="B10">
        <v>250</v>
      </c>
      <c r="C10">
        <v>0.48699999999999999</v>
      </c>
      <c r="D10">
        <f t="shared" si="0"/>
        <v>0.45999999999999996</v>
      </c>
    </row>
    <row r="11" spans="2:13" x14ac:dyDescent="0.35">
      <c r="B11">
        <v>375</v>
      </c>
      <c r="C11">
        <v>0.435</v>
      </c>
      <c r="D11">
        <f>C11-0.026</f>
        <v>0.40899999999999997</v>
      </c>
    </row>
    <row r="12" spans="2:13" x14ac:dyDescent="0.35">
      <c r="B12">
        <v>375</v>
      </c>
      <c r="C12">
        <v>0.42699999999999999</v>
      </c>
      <c r="D12">
        <f>C12-0.026</f>
        <v>0.40099999999999997</v>
      </c>
    </row>
    <row r="13" spans="2:13" x14ac:dyDescent="0.35">
      <c r="B13">
        <v>500</v>
      </c>
      <c r="C13">
        <v>0.35299999999999998</v>
      </c>
      <c r="D13">
        <f>C13-0.028</f>
        <v>0.32499999999999996</v>
      </c>
    </row>
    <row r="14" spans="2:13" x14ac:dyDescent="0.35">
      <c r="B14">
        <v>500</v>
      </c>
      <c r="C14">
        <v>0.33900000000000002</v>
      </c>
      <c r="D14">
        <f>C14-0.024</f>
        <v>0.315</v>
      </c>
    </row>
    <row r="15" spans="2:13" x14ac:dyDescent="0.35">
      <c r="B15">
        <v>750</v>
      </c>
      <c r="C15">
        <v>0.19800000000000001</v>
      </c>
      <c r="D15">
        <f>C15-0.024</f>
        <v>0.17400000000000002</v>
      </c>
    </row>
    <row r="16" spans="2:13" x14ac:dyDescent="0.35">
      <c r="B16">
        <v>750</v>
      </c>
      <c r="C16">
        <v>0.23400000000000001</v>
      </c>
      <c r="D16">
        <f>C16-0.024</f>
        <v>0.21000000000000002</v>
      </c>
    </row>
    <row r="17" spans="2:13" x14ac:dyDescent="0.35">
      <c r="B17">
        <v>1000</v>
      </c>
      <c r="C17">
        <v>0.1</v>
      </c>
      <c r="D17">
        <f>C17-0.025</f>
        <v>7.5000000000000011E-2</v>
      </c>
    </row>
    <row r="18" spans="2:13" x14ac:dyDescent="0.35">
      <c r="B18">
        <v>1000</v>
      </c>
      <c r="C18">
        <v>8.4000000000000005E-2</v>
      </c>
      <c r="D18">
        <f>C18-0.026</f>
        <v>5.800000000000001E-2</v>
      </c>
    </row>
    <row r="21" spans="2:13" x14ac:dyDescent="0.35">
      <c r="B21" s="89" t="s">
        <v>91</v>
      </c>
      <c r="C21" s="89"/>
      <c r="D21" s="89"/>
    </row>
    <row r="22" spans="2:13" x14ac:dyDescent="0.35">
      <c r="B22" t="s">
        <v>89</v>
      </c>
      <c r="C22" t="s">
        <v>87</v>
      </c>
      <c r="D22" t="s">
        <v>90</v>
      </c>
    </row>
    <row r="23" spans="2:13" x14ac:dyDescent="0.35">
      <c r="B23">
        <v>0</v>
      </c>
      <c r="C23">
        <v>0.54300000000000004</v>
      </c>
      <c r="D23">
        <f>C23-0.032</f>
        <v>0.51100000000000001</v>
      </c>
      <c r="L23" t="s">
        <v>93</v>
      </c>
    </row>
    <row r="24" spans="2:13" x14ac:dyDescent="0.35">
      <c r="B24">
        <v>0</v>
      </c>
      <c r="C24">
        <v>0.59099999999999997</v>
      </c>
      <c r="D24">
        <f>C24-0.032</f>
        <v>0.55899999999999994</v>
      </c>
      <c r="L24" t="s">
        <v>94</v>
      </c>
      <c r="M24">
        <v>-4.0000000000000002E-4</v>
      </c>
    </row>
    <row r="25" spans="2:13" x14ac:dyDescent="0.35">
      <c r="B25">
        <v>0</v>
      </c>
      <c r="C25">
        <v>0.55000000000000004</v>
      </c>
      <c r="D25">
        <f>C25-0.031</f>
        <v>0.51900000000000002</v>
      </c>
      <c r="L25" t="s">
        <v>95</v>
      </c>
      <c r="M25">
        <v>0.51629999999999998</v>
      </c>
    </row>
    <row r="26" spans="2:13" x14ac:dyDescent="0.35">
      <c r="B26">
        <v>0</v>
      </c>
      <c r="C26">
        <v>0.51600000000000001</v>
      </c>
      <c r="D26">
        <f>C26-0.03</f>
        <v>0.48599999999999999</v>
      </c>
    </row>
    <row r="27" spans="2:13" x14ac:dyDescent="0.35">
      <c r="B27">
        <v>125</v>
      </c>
      <c r="C27">
        <v>0.48299999999999998</v>
      </c>
      <c r="D27">
        <f>C27-0.034</f>
        <v>0.44899999999999995</v>
      </c>
    </row>
    <row r="28" spans="2:13" x14ac:dyDescent="0.35">
      <c r="B28">
        <v>125</v>
      </c>
      <c r="C28">
        <v>0.498</v>
      </c>
      <c r="D28">
        <f>C28-0.033</f>
        <v>0.46499999999999997</v>
      </c>
    </row>
    <row r="29" spans="2:13" x14ac:dyDescent="0.35">
      <c r="B29">
        <v>250</v>
      </c>
      <c r="C29">
        <v>0.432</v>
      </c>
      <c r="D29">
        <f>C29-0.035</f>
        <v>0.39700000000000002</v>
      </c>
    </row>
    <row r="30" spans="2:13" x14ac:dyDescent="0.35">
      <c r="B30">
        <v>250</v>
      </c>
      <c r="C30">
        <v>0.47499999999999998</v>
      </c>
      <c r="D30">
        <f>C30-0.034</f>
        <v>0.44099999999999995</v>
      </c>
    </row>
    <row r="31" spans="2:13" x14ac:dyDescent="0.35">
      <c r="B31">
        <v>375</v>
      </c>
      <c r="C31">
        <v>0.35599999999999998</v>
      </c>
      <c r="D31">
        <f>C31-0.03</f>
        <v>0.32599999999999996</v>
      </c>
    </row>
    <row r="32" spans="2:13" x14ac:dyDescent="0.35">
      <c r="B32">
        <v>375</v>
      </c>
      <c r="C32">
        <v>0.40100000000000002</v>
      </c>
      <c r="D32">
        <f>C32-0.028</f>
        <v>0.373</v>
      </c>
    </row>
    <row r="33" spans="2:13" x14ac:dyDescent="0.35">
      <c r="B33">
        <v>500</v>
      </c>
      <c r="C33">
        <v>0.25900000000000001</v>
      </c>
    </row>
    <row r="34" spans="2:13" x14ac:dyDescent="0.35">
      <c r="B34">
        <v>500</v>
      </c>
      <c r="C34">
        <v>0.33600000000000002</v>
      </c>
      <c r="D34">
        <f>C34-0.03</f>
        <v>0.30600000000000005</v>
      </c>
    </row>
    <row r="35" spans="2:13" x14ac:dyDescent="0.35">
      <c r="B35">
        <v>750</v>
      </c>
      <c r="C35">
        <v>0.21</v>
      </c>
      <c r="D35">
        <f>C35-0.025</f>
        <v>0.185</v>
      </c>
    </row>
    <row r="36" spans="2:13" x14ac:dyDescent="0.35">
      <c r="B36">
        <v>750</v>
      </c>
      <c r="C36">
        <v>0.2</v>
      </c>
      <c r="D36">
        <f>C36-0.025</f>
        <v>0.17500000000000002</v>
      </c>
    </row>
    <row r="37" spans="2:13" x14ac:dyDescent="0.35">
      <c r="B37">
        <v>1000</v>
      </c>
      <c r="C37">
        <v>0.14000000000000001</v>
      </c>
      <c r="D37">
        <f>C37-0.027</f>
        <v>0.11300000000000002</v>
      </c>
    </row>
    <row r="38" spans="2:13" x14ac:dyDescent="0.35">
      <c r="B38">
        <v>1000</v>
      </c>
      <c r="C38">
        <v>0.115</v>
      </c>
      <c r="D38">
        <f>C38-0.027</f>
        <v>8.8000000000000009E-2</v>
      </c>
    </row>
    <row r="41" spans="2:13" x14ac:dyDescent="0.35">
      <c r="B41" s="89" t="s">
        <v>92</v>
      </c>
      <c r="C41" s="89"/>
      <c r="D41" s="89"/>
    </row>
    <row r="42" spans="2:13" x14ac:dyDescent="0.35">
      <c r="B42" t="s">
        <v>89</v>
      </c>
      <c r="C42" t="s">
        <v>87</v>
      </c>
      <c r="D42" t="s">
        <v>90</v>
      </c>
    </row>
    <row r="43" spans="2:13" x14ac:dyDescent="0.35">
      <c r="B43">
        <v>0</v>
      </c>
      <c r="C43">
        <v>0.55200000000000005</v>
      </c>
      <c r="D43">
        <f>C43-0.026</f>
        <v>0.52600000000000002</v>
      </c>
      <c r="L43" t="s">
        <v>93</v>
      </c>
    </row>
    <row r="44" spans="2:13" x14ac:dyDescent="0.35">
      <c r="B44">
        <v>0</v>
      </c>
      <c r="C44">
        <v>0.61</v>
      </c>
      <c r="D44">
        <f>C44-0.028</f>
        <v>0.58199999999999996</v>
      </c>
      <c r="L44" t="s">
        <v>94</v>
      </c>
      <c r="M44">
        <v>-4.0000000000000002E-4</v>
      </c>
    </row>
    <row r="45" spans="2:13" x14ac:dyDescent="0.35">
      <c r="B45">
        <v>0</v>
      </c>
      <c r="C45">
        <v>0.58899999999999997</v>
      </c>
      <c r="D45">
        <f>C45-0.029</f>
        <v>0.55999999999999994</v>
      </c>
      <c r="L45" t="s">
        <v>95</v>
      </c>
      <c r="M45">
        <v>0.53439999999999999</v>
      </c>
    </row>
    <row r="46" spans="2:13" x14ac:dyDescent="0.35">
      <c r="B46">
        <v>0</v>
      </c>
      <c r="C46">
        <v>0.58699999999999997</v>
      </c>
      <c r="D46">
        <f>C46-0.031</f>
        <v>0.55599999999999994</v>
      </c>
    </row>
    <row r="47" spans="2:13" x14ac:dyDescent="0.35">
      <c r="B47">
        <v>125</v>
      </c>
      <c r="C47">
        <v>0.48799999999999999</v>
      </c>
      <c r="D47">
        <f>C47-0.03</f>
        <v>0.45799999999999996</v>
      </c>
    </row>
    <row r="48" spans="2:13" x14ac:dyDescent="0.35">
      <c r="B48">
        <v>125</v>
      </c>
      <c r="C48">
        <v>0.51500000000000001</v>
      </c>
      <c r="D48">
        <f>C48-0.031</f>
        <v>0.48399999999999999</v>
      </c>
    </row>
    <row r="49" spans="2:9" x14ac:dyDescent="0.35">
      <c r="B49">
        <v>250</v>
      </c>
      <c r="C49">
        <v>0.45600000000000002</v>
      </c>
      <c r="D49">
        <f>C49-0.033</f>
        <v>0.42300000000000004</v>
      </c>
    </row>
    <row r="50" spans="2:9" x14ac:dyDescent="0.35">
      <c r="B50">
        <v>250</v>
      </c>
      <c r="C50">
        <v>0.48499999999999999</v>
      </c>
      <c r="D50">
        <f>C50-0.035</f>
        <v>0.44999999999999996</v>
      </c>
    </row>
    <row r="51" spans="2:9" x14ac:dyDescent="0.35">
      <c r="B51">
        <v>375</v>
      </c>
      <c r="C51">
        <v>0.375</v>
      </c>
      <c r="D51">
        <f>C51-0.026</f>
        <v>0.34899999999999998</v>
      </c>
    </row>
    <row r="52" spans="2:9" x14ac:dyDescent="0.35">
      <c r="B52">
        <v>375</v>
      </c>
      <c r="C52">
        <v>0.376</v>
      </c>
      <c r="D52">
        <f>C52-0.026</f>
        <v>0.35</v>
      </c>
    </row>
    <row r="53" spans="2:9" x14ac:dyDescent="0.35">
      <c r="B53">
        <v>500</v>
      </c>
      <c r="C53">
        <v>0.315</v>
      </c>
      <c r="D53">
        <f>C53-0.026</f>
        <v>0.28899999999999998</v>
      </c>
    </row>
    <row r="54" spans="2:9" x14ac:dyDescent="0.35">
      <c r="B54">
        <v>500</v>
      </c>
      <c r="C54">
        <v>0.30299999999999999</v>
      </c>
      <c r="D54">
        <f>C54-0.025</f>
        <v>0.27799999999999997</v>
      </c>
    </row>
    <row r="55" spans="2:9" x14ac:dyDescent="0.35">
      <c r="B55">
        <v>750</v>
      </c>
      <c r="C55">
        <v>0.23799999999999999</v>
      </c>
      <c r="D55">
        <f>C55-0.023</f>
        <v>0.215</v>
      </c>
    </row>
    <row r="56" spans="2:9" x14ac:dyDescent="0.35">
      <c r="B56">
        <v>750</v>
      </c>
      <c r="C56">
        <v>0.216</v>
      </c>
      <c r="D56">
        <f>C56-0.024</f>
        <v>0.192</v>
      </c>
    </row>
    <row r="57" spans="2:9" x14ac:dyDescent="0.35">
      <c r="B57">
        <v>1000</v>
      </c>
      <c r="C57">
        <v>0.186</v>
      </c>
      <c r="D57">
        <f>C57-0.026</f>
        <v>0.16</v>
      </c>
    </row>
    <row r="58" spans="2:9" x14ac:dyDescent="0.35">
      <c r="B58">
        <v>1000</v>
      </c>
      <c r="C58">
        <v>0.16900000000000001</v>
      </c>
      <c r="D58">
        <f>C58-0.027</f>
        <v>0.14200000000000002</v>
      </c>
    </row>
    <row r="61" spans="2:9" x14ac:dyDescent="0.35">
      <c r="B61" t="s">
        <v>68</v>
      </c>
      <c r="C61" t="s">
        <v>96</v>
      </c>
      <c r="D61" t="s">
        <v>97</v>
      </c>
      <c r="E61" t="s">
        <v>100</v>
      </c>
      <c r="F61" t="s">
        <v>98</v>
      </c>
      <c r="G61" t="s">
        <v>99</v>
      </c>
      <c r="H61" t="s">
        <v>100</v>
      </c>
      <c r="I61" t="s">
        <v>98</v>
      </c>
    </row>
    <row r="62" spans="2:9" x14ac:dyDescent="0.3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</row>
    <row r="63" spans="2:9" x14ac:dyDescent="0.3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</row>
    <row r="64" spans="2:9" x14ac:dyDescent="0.3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</row>
    <row r="65" spans="2:9" x14ac:dyDescent="0.3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</row>
    <row r="66" spans="2:9" x14ac:dyDescent="0.3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</row>
    <row r="67" spans="2:9" x14ac:dyDescent="0.3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</row>
    <row r="68" spans="2:9" x14ac:dyDescent="0.3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</row>
    <row r="69" spans="2:9" x14ac:dyDescent="0.3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</row>
    <row r="70" spans="2:9" x14ac:dyDescent="0.3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</row>
    <row r="71" spans="2:9" x14ac:dyDescent="0.3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</row>
    <row r="72" spans="2:9" x14ac:dyDescent="0.3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</row>
    <row r="73" spans="2:9" x14ac:dyDescent="0.3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</row>
    <row r="74" spans="2:9" x14ac:dyDescent="0.3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</row>
    <row r="75" spans="2:9" x14ac:dyDescent="0.3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</row>
    <row r="76" spans="2:9" x14ac:dyDescent="0.3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</row>
    <row r="77" spans="2:9" x14ac:dyDescent="0.3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</row>
    <row r="78" spans="2:9" x14ac:dyDescent="0.3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</row>
    <row r="79" spans="2:9" x14ac:dyDescent="0.3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</row>
    <row r="80" spans="2:9" x14ac:dyDescent="0.3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</row>
    <row r="81" spans="2:9" x14ac:dyDescent="0.3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</row>
    <row r="82" spans="2:9" x14ac:dyDescent="0.3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</row>
    <row r="83" spans="2:9" x14ac:dyDescent="0.3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</row>
    <row r="84" spans="2:9" x14ac:dyDescent="0.3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</row>
    <row r="85" spans="2:9" x14ac:dyDescent="0.3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</row>
    <row r="86" spans="2:9" x14ac:dyDescent="0.3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</row>
    <row r="87" spans="2:9" x14ac:dyDescent="0.3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</row>
    <row r="88" spans="2:9" x14ac:dyDescent="0.3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</row>
    <row r="89" spans="2:9" x14ac:dyDescent="0.3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</row>
    <row r="90" spans="2:9" x14ac:dyDescent="0.3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</row>
    <row r="91" spans="2:9" x14ac:dyDescent="0.3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</row>
    <row r="92" spans="2:9" x14ac:dyDescent="0.3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</row>
    <row r="93" spans="2:9" x14ac:dyDescent="0.3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</row>
    <row r="94" spans="2:9" x14ac:dyDescent="0.3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</row>
    <row r="95" spans="2:9" x14ac:dyDescent="0.3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</row>
    <row r="96" spans="2:9" x14ac:dyDescent="0.3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</row>
    <row r="97" spans="2:9" x14ac:dyDescent="0.3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</row>
    <row r="98" spans="2:9" x14ac:dyDescent="0.3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</row>
    <row r="99" spans="2:9" x14ac:dyDescent="0.3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</row>
    <row r="100" spans="2:9" x14ac:dyDescent="0.3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</row>
    <row r="101" spans="2:9" x14ac:dyDescent="0.3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</row>
    <row r="102" spans="2:9" x14ac:dyDescent="0.3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</row>
    <row r="103" spans="2:9" x14ac:dyDescent="0.3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</row>
    <row r="104" spans="2:9" x14ac:dyDescent="0.3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</row>
    <row r="105" spans="2:9" x14ac:dyDescent="0.3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</row>
    <row r="106" spans="2:9" x14ac:dyDescent="0.3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</row>
    <row r="107" spans="2:9" x14ac:dyDescent="0.3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</row>
    <row r="108" spans="2:9" x14ac:dyDescent="0.3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</row>
    <row r="109" spans="2:9" x14ac:dyDescent="0.3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</row>
    <row r="110" spans="2:9" x14ac:dyDescent="0.3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</row>
    <row r="111" spans="2:9" x14ac:dyDescent="0.3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</row>
    <row r="112" spans="2:9" x14ac:dyDescent="0.3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</row>
    <row r="113" spans="2:9" x14ac:dyDescent="0.3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3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3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3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3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3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3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3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3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3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3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3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3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3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3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">(H127-$M$5)/$M$4</f>
        <v>460.40000000000003</v>
      </c>
    </row>
    <row r="128" spans="2:9" x14ac:dyDescent="0.3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3"/>
        <v>560.74999999999989</v>
      </c>
      <c r="G128">
        <v>0.40200000000000002</v>
      </c>
      <c r="H128">
        <f>G128-0.077</f>
        <v>0.32500000000000001</v>
      </c>
      <c r="I128">
        <f t="shared" si="4"/>
        <v>552.39999999999986</v>
      </c>
    </row>
    <row r="129" spans="2:9" x14ac:dyDescent="0.3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3"/>
        <v>590.74999999999989</v>
      </c>
      <c r="G129">
        <v>0.40100000000000002</v>
      </c>
      <c r="H129">
        <f>G129-0.082</f>
        <v>0.31900000000000001</v>
      </c>
      <c r="I129">
        <f t="shared" si="4"/>
        <v>564.39999999999986</v>
      </c>
    </row>
    <row r="130" spans="2:9" x14ac:dyDescent="0.35">
      <c r="B130">
        <v>35</v>
      </c>
      <c r="C130">
        <v>1</v>
      </c>
      <c r="D130">
        <v>0.24</v>
      </c>
      <c r="E130">
        <f>D130-0.052</f>
        <v>0.188</v>
      </c>
      <c r="F130">
        <f t="shared" si="3"/>
        <v>820.74999999999989</v>
      </c>
      <c r="G130">
        <v>0.40200000000000002</v>
      </c>
      <c r="H130">
        <f>G130-0.088</f>
        <v>0.31400000000000006</v>
      </c>
      <c r="I130">
        <f t="shared" si="4"/>
        <v>574.39999999999975</v>
      </c>
    </row>
    <row r="131" spans="2:9" x14ac:dyDescent="0.3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3"/>
        <v>878.25</v>
      </c>
      <c r="G131">
        <v>0.436</v>
      </c>
      <c r="H131">
        <f>G131-0.096</f>
        <v>0.33999999999999997</v>
      </c>
      <c r="I131">
        <f t="shared" si="4"/>
        <v>522.4</v>
      </c>
    </row>
    <row r="132" spans="2:9" x14ac:dyDescent="0.3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3"/>
        <v>500.74999999999994</v>
      </c>
      <c r="G132">
        <v>0.32900000000000001</v>
      </c>
      <c r="H132">
        <f>G132-0.071</f>
        <v>0.25800000000000001</v>
      </c>
      <c r="I132">
        <f t="shared" si="4"/>
        <v>686.39999999999986</v>
      </c>
    </row>
    <row r="133" spans="2:9" x14ac:dyDescent="0.3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3"/>
        <v>508.24999999999994</v>
      </c>
      <c r="G133">
        <v>0.34899999999999998</v>
      </c>
      <c r="H133">
        <f>G133-0.075</f>
        <v>0.27399999999999997</v>
      </c>
      <c r="I133">
        <f t="shared" si="4"/>
        <v>654.4</v>
      </c>
    </row>
    <row r="134" spans="2:9" x14ac:dyDescent="0.3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3"/>
        <v>255.74999999999986</v>
      </c>
      <c r="G134">
        <v>0.38900000000000001</v>
      </c>
      <c r="H134">
        <f>G134-0.094</f>
        <v>0.29500000000000004</v>
      </c>
      <c r="I134">
        <f t="shared" si="4"/>
        <v>612.39999999999986</v>
      </c>
    </row>
    <row r="135" spans="2:9" x14ac:dyDescent="0.3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3"/>
        <v>253.25</v>
      </c>
      <c r="G135">
        <v>0.373</v>
      </c>
      <c r="H135">
        <f>G135-0.093</f>
        <v>0.28000000000000003</v>
      </c>
      <c r="I135">
        <f t="shared" si="4"/>
        <v>642.39999999999986</v>
      </c>
    </row>
    <row r="136" spans="2:9" x14ac:dyDescent="0.3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3"/>
        <v>330.74999999999994</v>
      </c>
      <c r="G136">
        <v>0.39400000000000002</v>
      </c>
      <c r="H136">
        <f>G136-0.126</f>
        <v>0.26800000000000002</v>
      </c>
      <c r="I136">
        <f t="shared" si="4"/>
        <v>666.39999999999986</v>
      </c>
    </row>
    <row r="137" spans="2:9" x14ac:dyDescent="0.3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3"/>
        <v>278.25</v>
      </c>
      <c r="G137">
        <v>0.42799999999999999</v>
      </c>
      <c r="H137">
        <f>G137-0.131</f>
        <v>0.29699999999999999</v>
      </c>
      <c r="I137">
        <f t="shared" si="4"/>
        <v>608.4</v>
      </c>
    </row>
    <row r="138" spans="2:9" x14ac:dyDescent="0.3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3"/>
        <v>720.75</v>
      </c>
      <c r="G138">
        <v>0.372</v>
      </c>
      <c r="H138">
        <f>G138-0.086</f>
        <v>0.28600000000000003</v>
      </c>
      <c r="I138">
        <f t="shared" si="4"/>
        <v>630.39999999999986</v>
      </c>
    </row>
    <row r="139" spans="2:9" x14ac:dyDescent="0.3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3"/>
        <v>700.75</v>
      </c>
      <c r="G139">
        <v>0.35499999999999998</v>
      </c>
      <c r="H139">
        <f>G139-0.09</f>
        <v>0.26500000000000001</v>
      </c>
      <c r="I139">
        <f t="shared" si="4"/>
        <v>672.39999999999986</v>
      </c>
    </row>
    <row r="140" spans="2:9" x14ac:dyDescent="0.3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3"/>
        <v>253.24999999999986</v>
      </c>
      <c r="G140">
        <v>0.46700000000000003</v>
      </c>
      <c r="H140">
        <f>G140-0.106</f>
        <v>0.36100000000000004</v>
      </c>
      <c r="I140">
        <f t="shared" si="4"/>
        <v>480.39999999999981</v>
      </c>
    </row>
    <row r="141" spans="2:9" x14ac:dyDescent="0.3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3"/>
        <v>215.74999999999997</v>
      </c>
      <c r="G141">
        <v>0.48799999999999999</v>
      </c>
      <c r="H141">
        <f>G141-0.113</f>
        <v>0.375</v>
      </c>
      <c r="I141">
        <f t="shared" si="4"/>
        <v>452.39999999999992</v>
      </c>
    </row>
    <row r="142" spans="2:9" x14ac:dyDescent="0.3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3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5">(E143-$M$45)/$M$44</f>
        <v>413.49999999999994</v>
      </c>
      <c r="G143">
        <v>0.62</v>
      </c>
      <c r="H143">
        <f>G143-0.257</f>
        <v>0.36299999999999999</v>
      </c>
      <c r="I143">
        <f t="shared" ref="I143:I163" si="6">(H143-$M$45)/$M$44</f>
        <v>428.49999999999994</v>
      </c>
    </row>
    <row r="144" spans="2:9" x14ac:dyDescent="0.3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5"/>
        <v>125.99999999999986</v>
      </c>
      <c r="G144">
        <v>0.45400000000000001</v>
      </c>
      <c r="H144">
        <f>G144-0.075</f>
        <v>0.379</v>
      </c>
      <c r="I144">
        <f t="shared" si="6"/>
        <v>388.49999999999994</v>
      </c>
    </row>
    <row r="145" spans="2:9" x14ac:dyDescent="0.3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5"/>
        <v>158.49999999999989</v>
      </c>
      <c r="G145">
        <v>0.42799999999999999</v>
      </c>
      <c r="H145">
        <f>G145-0.071</f>
        <v>0.35699999999999998</v>
      </c>
      <c r="I145">
        <f t="shared" si="6"/>
        <v>443.5</v>
      </c>
    </row>
    <row r="146" spans="2:9" x14ac:dyDescent="0.3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5"/>
        <v>405.99999999999994</v>
      </c>
      <c r="G146">
        <v>0.41699999999999998</v>
      </c>
      <c r="H146">
        <f>G146-0.114</f>
        <v>0.30299999999999999</v>
      </c>
      <c r="I146">
        <f t="shared" si="6"/>
        <v>578.5</v>
      </c>
    </row>
    <row r="147" spans="2:9" x14ac:dyDescent="0.3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5"/>
        <v>418.49999999999994</v>
      </c>
      <c r="G147">
        <v>0.39600000000000002</v>
      </c>
      <c r="H147">
        <f>G147-0.104</f>
        <v>0.29200000000000004</v>
      </c>
      <c r="I147">
        <f t="shared" si="6"/>
        <v>605.99999999999989</v>
      </c>
    </row>
    <row r="148" spans="2:9" x14ac:dyDescent="0.3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5"/>
        <v>273.5</v>
      </c>
      <c r="G148">
        <v>0.47</v>
      </c>
      <c r="H148">
        <f>G148-0.226</f>
        <v>0.24399999999999997</v>
      </c>
      <c r="I148">
        <f t="shared" si="6"/>
        <v>726</v>
      </c>
    </row>
    <row r="149" spans="2:9" x14ac:dyDescent="0.3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5"/>
        <v>158.49999999999989</v>
      </c>
      <c r="G149">
        <v>0.496</v>
      </c>
      <c r="H149">
        <f>G149-0.206</f>
        <v>0.29000000000000004</v>
      </c>
      <c r="I149">
        <f t="shared" si="6"/>
        <v>610.99999999999989</v>
      </c>
    </row>
    <row r="150" spans="2:9" x14ac:dyDescent="0.3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5"/>
        <v>540.99999999999989</v>
      </c>
      <c r="G150">
        <v>0.45100000000000001</v>
      </c>
      <c r="H150">
        <f>G150-0.163</f>
        <v>0.28800000000000003</v>
      </c>
      <c r="I150">
        <f t="shared" si="6"/>
        <v>615.99999999999989</v>
      </c>
    </row>
    <row r="151" spans="2:9" x14ac:dyDescent="0.3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5"/>
        <v>576</v>
      </c>
      <c r="G151">
        <v>0.45</v>
      </c>
      <c r="H151">
        <f>G151-0.147</f>
        <v>0.30300000000000005</v>
      </c>
      <c r="I151">
        <f t="shared" si="6"/>
        <v>578.49999999999977</v>
      </c>
    </row>
    <row r="152" spans="2:9" x14ac:dyDescent="0.3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5"/>
        <v>628.49999999999989</v>
      </c>
      <c r="G152">
        <v>0.49099999999999999</v>
      </c>
      <c r="H152">
        <f>G152-0.095</f>
        <v>0.39600000000000002</v>
      </c>
      <c r="I152">
        <f t="shared" si="6"/>
        <v>345.99999999999989</v>
      </c>
    </row>
    <row r="153" spans="2:9" x14ac:dyDescent="0.3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5"/>
        <v>603.49999999999989</v>
      </c>
      <c r="G153">
        <v>0.497</v>
      </c>
      <c r="H153">
        <f>G153-0.094</f>
        <v>0.40300000000000002</v>
      </c>
      <c r="I153">
        <f t="shared" si="6"/>
        <v>328.49999999999989</v>
      </c>
    </row>
    <row r="154" spans="2:9" x14ac:dyDescent="0.3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5"/>
        <v>178.49999999999989</v>
      </c>
      <c r="G154">
        <v>0.50800000000000001</v>
      </c>
      <c r="H154">
        <f>G154-0.143</f>
        <v>0.36499999999999999</v>
      </c>
      <c r="I154">
        <f t="shared" si="6"/>
        <v>423.49999999999994</v>
      </c>
    </row>
    <row r="155" spans="2:9" x14ac:dyDescent="0.3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5"/>
        <v>198.49999999999991</v>
      </c>
      <c r="G155">
        <v>0.46600000000000003</v>
      </c>
      <c r="H155">
        <f>G155-0.132</f>
        <v>0.33400000000000002</v>
      </c>
      <c r="I155">
        <f t="shared" si="6"/>
        <v>500.99999999999989</v>
      </c>
    </row>
    <row r="156" spans="2:9" x14ac:dyDescent="0.3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5"/>
        <v>323.49999999999989</v>
      </c>
      <c r="G156">
        <v>0.46400000000000002</v>
      </c>
      <c r="H156">
        <f>G156-0.156</f>
        <v>0.30800000000000005</v>
      </c>
      <c r="I156">
        <f t="shared" si="6"/>
        <v>565.99999999999977</v>
      </c>
    </row>
    <row r="157" spans="2:9" x14ac:dyDescent="0.3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5"/>
        <v>400.99999999999994</v>
      </c>
      <c r="G157">
        <v>0.42</v>
      </c>
      <c r="H157">
        <f>G157-0.138</f>
        <v>0.28199999999999997</v>
      </c>
      <c r="I157">
        <f t="shared" si="6"/>
        <v>631</v>
      </c>
    </row>
    <row r="158" spans="2:9" x14ac:dyDescent="0.3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5"/>
        <v>418.49999999999994</v>
      </c>
      <c r="G158">
        <v>0.44700000000000001</v>
      </c>
      <c r="H158">
        <f>G158-0.105</f>
        <v>0.34200000000000003</v>
      </c>
      <c r="I158">
        <f t="shared" si="6"/>
        <v>480.99999999999989</v>
      </c>
    </row>
    <row r="159" spans="2:9" x14ac:dyDescent="0.3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5"/>
        <v>413.49999999999994</v>
      </c>
      <c r="G159">
        <v>0.45</v>
      </c>
      <c r="H159">
        <f>G159-0.11</f>
        <v>0.34</v>
      </c>
      <c r="I159">
        <f t="shared" si="6"/>
        <v>485.99999999999989</v>
      </c>
    </row>
    <row r="160" spans="2:9" x14ac:dyDescent="0.3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5"/>
        <v>375.99999999999994</v>
      </c>
      <c r="G160">
        <v>0.44</v>
      </c>
      <c r="H160">
        <f>G160-0.1</f>
        <v>0.33999999999999997</v>
      </c>
      <c r="I160">
        <f t="shared" si="6"/>
        <v>486</v>
      </c>
    </row>
    <row r="161" spans="2:9" x14ac:dyDescent="0.35">
      <c r="B161">
        <v>50</v>
      </c>
      <c r="C161">
        <v>2</v>
      </c>
      <c r="D161">
        <v>0.437</v>
      </c>
      <c r="E161">
        <f>D161-0.061</f>
        <v>0.376</v>
      </c>
      <c r="F161">
        <f t="shared" si="5"/>
        <v>395.99999999999994</v>
      </c>
      <c r="G161">
        <v>0.45800000000000002</v>
      </c>
      <c r="H161">
        <f>G161-0.097</f>
        <v>0.36099999999999999</v>
      </c>
      <c r="I161">
        <f t="shared" si="6"/>
        <v>433.5</v>
      </c>
    </row>
    <row r="162" spans="2:9" x14ac:dyDescent="0.3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5"/>
        <v>273.5</v>
      </c>
      <c r="G162">
        <v>0.40200000000000002</v>
      </c>
      <c r="H162">
        <f>G162-0.077</f>
        <v>0.32500000000000001</v>
      </c>
      <c r="I162">
        <f t="shared" si="6"/>
        <v>523.49999999999989</v>
      </c>
    </row>
    <row r="163" spans="2:9" x14ac:dyDescent="0.3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5"/>
        <v>273.5</v>
      </c>
      <c r="G163">
        <v>0.37</v>
      </c>
      <c r="H163">
        <f>G163-0.082</f>
        <v>0.28799999999999998</v>
      </c>
      <c r="I163">
        <f t="shared" si="6"/>
        <v>616</v>
      </c>
    </row>
    <row r="165" spans="2:9" x14ac:dyDescent="0.35">
      <c r="B165" s="17" t="s">
        <v>22</v>
      </c>
      <c r="C165" t="s">
        <v>35</v>
      </c>
      <c r="D165" t="s">
        <v>36</v>
      </c>
    </row>
    <row r="166" spans="2:9" x14ac:dyDescent="0.3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3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3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3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3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3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3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3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3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3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3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3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3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3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3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3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3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3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3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3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3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3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3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3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3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3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3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3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3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3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3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3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3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3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3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3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3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3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3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3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3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3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3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3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3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3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3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3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3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3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3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3">
    <mergeCell ref="B1:D1"/>
    <mergeCell ref="B21:D21"/>
    <mergeCell ref="B41:D41"/>
  </mergeCells>
  <pageMargins left="0.7" right="0.7" top="0.75" bottom="0.75" header="0.3" footer="0.3"/>
  <ignoredErrors>
    <ignoredError sqref="D47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D2F5-BBA8-4E1E-AAE6-7E6FBCE784FD}">
  <dimension ref="B2:N122"/>
  <sheetViews>
    <sheetView topLeftCell="A22" workbookViewId="0">
      <selection activeCell="B80" sqref="B80:F85"/>
    </sheetView>
  </sheetViews>
  <sheetFormatPr baseColWidth="10" defaultRowHeight="14.5" x14ac:dyDescent="0.35"/>
  <sheetData>
    <row r="2" spans="2:14" x14ac:dyDescent="0.35">
      <c r="B2" t="s">
        <v>138</v>
      </c>
      <c r="C2" t="s">
        <v>139</v>
      </c>
      <c r="M2" t="s">
        <v>140</v>
      </c>
    </row>
    <row r="3" spans="2:14" x14ac:dyDescent="0.35">
      <c r="B3">
        <v>0.11600000000000001</v>
      </c>
      <c r="C3">
        <v>4.7389999999999999</v>
      </c>
      <c r="M3" t="s">
        <v>141</v>
      </c>
      <c r="N3">
        <v>1.6619999999999999E-2</v>
      </c>
    </row>
    <row r="4" spans="2:14" x14ac:dyDescent="0.35">
      <c r="B4">
        <v>0.12</v>
      </c>
      <c r="C4">
        <v>4.9800000000000004</v>
      </c>
      <c r="M4" t="s">
        <v>95</v>
      </c>
      <c r="N4">
        <v>3.7240000000000002E-2</v>
      </c>
    </row>
    <row r="5" spans="2:14" x14ac:dyDescent="0.35">
      <c r="B5">
        <v>0.20399999999999999</v>
      </c>
      <c r="C5">
        <v>10.034000000000001</v>
      </c>
    </row>
    <row r="6" spans="2:14" x14ac:dyDescent="0.35">
      <c r="B6">
        <v>0.186</v>
      </c>
      <c r="C6">
        <v>8.9510000000000005</v>
      </c>
    </row>
    <row r="7" spans="2:14" x14ac:dyDescent="0.35">
      <c r="B7">
        <v>0.29699999999999999</v>
      </c>
      <c r="C7">
        <v>15.631</v>
      </c>
      <c r="M7" t="s">
        <v>101</v>
      </c>
    </row>
    <row r="8" spans="2:14" x14ac:dyDescent="0.35">
      <c r="B8">
        <v>0.35299999999999998</v>
      </c>
      <c r="C8">
        <v>19</v>
      </c>
    </row>
    <row r="9" spans="2:14" x14ac:dyDescent="0.35">
      <c r="B9">
        <v>0.35399999999999998</v>
      </c>
      <c r="C9">
        <v>19.059999999999999</v>
      </c>
    </row>
    <row r="10" spans="2:14" x14ac:dyDescent="0.35">
      <c r="B10">
        <v>0.48399999999999999</v>
      </c>
      <c r="C10">
        <v>26.882999999999999</v>
      </c>
    </row>
    <row r="11" spans="2:14" x14ac:dyDescent="0.35">
      <c r="B11">
        <v>0.60399999999999998</v>
      </c>
      <c r="C11">
        <v>34.103999999999999</v>
      </c>
    </row>
    <row r="19" spans="2:6" x14ac:dyDescent="0.35">
      <c r="B19" t="s">
        <v>122</v>
      </c>
      <c r="C19" t="s">
        <v>142</v>
      </c>
      <c r="D19" t="s">
        <v>143</v>
      </c>
      <c r="E19" t="s">
        <v>144</v>
      </c>
      <c r="F19" t="s">
        <v>145</v>
      </c>
    </row>
    <row r="20" spans="2:6" x14ac:dyDescent="0.3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87">
        <f>(E20-$N$4)/$N$3</f>
        <v>25.737665463297233</v>
      </c>
    </row>
    <row r="21" spans="2:6" x14ac:dyDescent="0.35">
      <c r="C21">
        <v>0.496</v>
      </c>
      <c r="D21">
        <f t="shared" ref="D21:F84" si="0">(C21-$N$4)/$N$3</f>
        <v>27.602888086642601</v>
      </c>
      <c r="E21">
        <v>0.48699999999999999</v>
      </c>
      <c r="F21" s="87">
        <f t="shared" si="0"/>
        <v>27.061371841155236</v>
      </c>
    </row>
    <row r="22" spans="2:6" x14ac:dyDescent="0.3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</row>
    <row r="23" spans="2:6" x14ac:dyDescent="0.3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</row>
    <row r="24" spans="2:6" x14ac:dyDescent="0.3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</row>
    <row r="25" spans="2:6" x14ac:dyDescent="0.3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</row>
    <row r="26" spans="2:6" x14ac:dyDescent="0.3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</row>
    <row r="27" spans="2:6" x14ac:dyDescent="0.3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</row>
    <row r="28" spans="2:6" x14ac:dyDescent="0.3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</row>
    <row r="29" spans="2:6" x14ac:dyDescent="0.3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</row>
    <row r="30" spans="2:6" x14ac:dyDescent="0.3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</row>
    <row r="31" spans="2:6" x14ac:dyDescent="0.3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</row>
    <row r="32" spans="2:6" x14ac:dyDescent="0.3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</row>
    <row r="33" spans="2:6" x14ac:dyDescent="0.3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</row>
    <row r="34" spans="2:6" x14ac:dyDescent="0.3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</row>
    <row r="35" spans="2:6" x14ac:dyDescent="0.3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</row>
    <row r="36" spans="2:6" x14ac:dyDescent="0.3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</row>
    <row r="37" spans="2:6" x14ac:dyDescent="0.3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</row>
    <row r="38" spans="2:6" x14ac:dyDescent="0.3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</row>
    <row r="39" spans="2:6" x14ac:dyDescent="0.3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</row>
    <row r="40" spans="2:6" x14ac:dyDescent="0.3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</row>
    <row r="41" spans="2:6" x14ac:dyDescent="0.3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</row>
    <row r="42" spans="2:6" x14ac:dyDescent="0.3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</row>
    <row r="43" spans="2:6" x14ac:dyDescent="0.3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</row>
    <row r="44" spans="2:6" x14ac:dyDescent="0.3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</row>
    <row r="45" spans="2:6" x14ac:dyDescent="0.3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</row>
    <row r="46" spans="2:6" x14ac:dyDescent="0.3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</row>
    <row r="47" spans="2:6" x14ac:dyDescent="0.3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</row>
    <row r="48" spans="2:6" x14ac:dyDescent="0.3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</row>
    <row r="49" spans="2:6" x14ac:dyDescent="0.3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</row>
    <row r="50" spans="2:6" x14ac:dyDescent="0.3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</row>
    <row r="51" spans="2:6" x14ac:dyDescent="0.3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</row>
    <row r="52" spans="2:6" x14ac:dyDescent="0.3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</row>
    <row r="53" spans="2:6" x14ac:dyDescent="0.3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</row>
    <row r="54" spans="2:6" x14ac:dyDescent="0.3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</row>
    <row r="55" spans="2:6" x14ac:dyDescent="0.3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</row>
    <row r="56" spans="2:6" x14ac:dyDescent="0.3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</row>
    <row r="57" spans="2:6" x14ac:dyDescent="0.3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</row>
    <row r="58" spans="2:6" x14ac:dyDescent="0.3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</row>
    <row r="59" spans="2:6" x14ac:dyDescent="0.3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</row>
    <row r="60" spans="2:6" x14ac:dyDescent="0.3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</row>
    <row r="61" spans="2:6" x14ac:dyDescent="0.3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</row>
    <row r="62" spans="2:6" x14ac:dyDescent="0.3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</row>
    <row r="63" spans="2:6" x14ac:dyDescent="0.3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</row>
    <row r="64" spans="2:6" x14ac:dyDescent="0.3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</row>
    <row r="65" spans="2:6" x14ac:dyDescent="0.3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</row>
    <row r="66" spans="2:6" x14ac:dyDescent="0.3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</row>
    <row r="67" spans="2:6" x14ac:dyDescent="0.3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</row>
    <row r="68" spans="2:6" x14ac:dyDescent="0.3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</row>
    <row r="69" spans="2:6" x14ac:dyDescent="0.3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</row>
    <row r="70" spans="2:6" x14ac:dyDescent="0.3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</row>
    <row r="71" spans="2:6" x14ac:dyDescent="0.3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6" x14ac:dyDescent="0.3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6" x14ac:dyDescent="0.3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6" x14ac:dyDescent="0.3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6" x14ac:dyDescent="0.3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6" x14ac:dyDescent="0.3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6" x14ac:dyDescent="0.3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6" x14ac:dyDescent="0.3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6" x14ac:dyDescent="0.3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6" x14ac:dyDescent="0.3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3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3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3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3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35">
      <c r="C85">
        <v>0.61099999999999999</v>
      </c>
      <c r="D85">
        <f t="shared" ref="D85:F122" si="1">(C85-$N$4)/$N$3</f>
        <v>34.522262334536698</v>
      </c>
      <c r="E85">
        <v>0.72799999999999998</v>
      </c>
      <c r="F85">
        <f t="shared" si="1"/>
        <v>41.561973525872439</v>
      </c>
    </row>
    <row r="86" spans="2:6" x14ac:dyDescent="0.35">
      <c r="B86">
        <v>34</v>
      </c>
      <c r="C86">
        <v>0.46300000000000002</v>
      </c>
      <c r="D86">
        <f t="shared" si="1"/>
        <v>25.617328519855597</v>
      </c>
      <c r="E86">
        <v>0.84099999999999997</v>
      </c>
      <c r="F86">
        <f t="shared" si="1"/>
        <v>48.361010830324908</v>
      </c>
    </row>
    <row r="87" spans="2:6" x14ac:dyDescent="0.35">
      <c r="C87">
        <v>0.48299999999999998</v>
      </c>
      <c r="D87">
        <f t="shared" si="1"/>
        <v>26.82069795427196</v>
      </c>
      <c r="E87">
        <v>0.78300000000000003</v>
      </c>
      <c r="F87">
        <f t="shared" si="1"/>
        <v>44.871239470517452</v>
      </c>
    </row>
    <row r="88" spans="2:6" x14ac:dyDescent="0.35">
      <c r="B88">
        <v>35</v>
      </c>
      <c r="C88">
        <v>0.56299999999999994</v>
      </c>
      <c r="D88">
        <f t="shared" si="1"/>
        <v>31.634175691937418</v>
      </c>
      <c r="E88">
        <v>0.72</v>
      </c>
      <c r="F88">
        <f t="shared" si="1"/>
        <v>41.080625752105895</v>
      </c>
    </row>
    <row r="89" spans="2:6" x14ac:dyDescent="0.35">
      <c r="C89">
        <v>0.52200000000000002</v>
      </c>
      <c r="D89">
        <f t="shared" si="1"/>
        <v>29.167268351383878</v>
      </c>
      <c r="E89">
        <v>0.73</v>
      </c>
      <c r="F89">
        <f t="shared" si="1"/>
        <v>41.682310469314075</v>
      </c>
    </row>
    <row r="90" spans="2:6" x14ac:dyDescent="0.35">
      <c r="B90">
        <v>36</v>
      </c>
      <c r="C90">
        <v>0.46800000000000003</v>
      </c>
      <c r="D90">
        <f t="shared" si="1"/>
        <v>25.918170878459691</v>
      </c>
      <c r="E90">
        <v>0.86699999999999999</v>
      </c>
      <c r="F90">
        <f t="shared" si="1"/>
        <v>49.925391095066182</v>
      </c>
    </row>
    <row r="91" spans="2:6" x14ac:dyDescent="0.35">
      <c r="C91">
        <v>0.35299999999999998</v>
      </c>
      <c r="D91">
        <f t="shared" si="1"/>
        <v>18.998796630565582</v>
      </c>
      <c r="E91">
        <v>0.86699999999999999</v>
      </c>
      <c r="F91">
        <f t="shared" si="1"/>
        <v>49.925391095066182</v>
      </c>
    </row>
    <row r="92" spans="2:6" x14ac:dyDescent="0.35">
      <c r="B92">
        <v>37</v>
      </c>
      <c r="C92">
        <v>0.63200000000000001</v>
      </c>
      <c r="D92">
        <f t="shared" si="1"/>
        <v>35.785800240673886</v>
      </c>
      <c r="E92">
        <v>0.82099999999999995</v>
      </c>
      <c r="F92">
        <f t="shared" si="1"/>
        <v>47.157641395908541</v>
      </c>
    </row>
    <row r="93" spans="2:6" x14ac:dyDescent="0.35">
      <c r="C93">
        <v>0.63100000000000001</v>
      </c>
      <c r="D93">
        <f t="shared" si="1"/>
        <v>35.725631768953065</v>
      </c>
      <c r="E93">
        <v>0.81799999999999995</v>
      </c>
      <c r="F93">
        <f t="shared" si="1"/>
        <v>46.977135980746084</v>
      </c>
    </row>
    <row r="94" spans="2:6" x14ac:dyDescent="0.35">
      <c r="B94">
        <v>38</v>
      </c>
      <c r="C94">
        <v>0.57799999999999996</v>
      </c>
      <c r="D94">
        <f t="shared" si="1"/>
        <v>32.536702767749695</v>
      </c>
      <c r="E94">
        <v>0.58299999999999996</v>
      </c>
      <c r="F94">
        <f t="shared" si="1"/>
        <v>32.837545126353788</v>
      </c>
    </row>
    <row r="95" spans="2:6" x14ac:dyDescent="0.35">
      <c r="C95">
        <v>0.61899999999999999</v>
      </c>
      <c r="D95">
        <f t="shared" si="1"/>
        <v>35.003610108303249</v>
      </c>
      <c r="E95">
        <v>0.60699999999999998</v>
      </c>
      <c r="F95">
        <f t="shared" si="1"/>
        <v>34.281588447653426</v>
      </c>
    </row>
    <row r="96" spans="2:6" x14ac:dyDescent="0.35">
      <c r="B96">
        <v>39</v>
      </c>
      <c r="C96">
        <v>0.61699999999999999</v>
      </c>
      <c r="D96">
        <f t="shared" si="1"/>
        <v>34.883273164861613</v>
      </c>
      <c r="E96">
        <v>1.194</v>
      </c>
      <c r="F96">
        <f t="shared" si="1"/>
        <v>69.600481347773766</v>
      </c>
    </row>
    <row r="97" spans="2:6" x14ac:dyDescent="0.35">
      <c r="C97">
        <v>0.61499999999999999</v>
      </c>
      <c r="D97">
        <f t="shared" si="1"/>
        <v>34.76293622141997</v>
      </c>
      <c r="E97">
        <v>1.1240000000000001</v>
      </c>
      <c r="F97">
        <f t="shared" si="1"/>
        <v>65.388688327316501</v>
      </c>
    </row>
    <row r="98" spans="2:6" x14ac:dyDescent="0.35">
      <c r="E98">
        <v>0.63600000000000001</v>
      </c>
      <c r="F98">
        <f t="shared" si="1"/>
        <v>36.026474127557158</v>
      </c>
    </row>
    <row r="99" spans="2:6" x14ac:dyDescent="0.35">
      <c r="B99">
        <v>40</v>
      </c>
      <c r="C99">
        <v>0.45500000000000002</v>
      </c>
      <c r="D99">
        <f t="shared" si="1"/>
        <v>25.13598074608905</v>
      </c>
      <c r="E99">
        <v>1.3260000000000001</v>
      </c>
      <c r="F99">
        <f t="shared" si="1"/>
        <v>77.542719614921793</v>
      </c>
    </row>
    <row r="100" spans="2:6" x14ac:dyDescent="0.35">
      <c r="C100">
        <v>0.49199999999999999</v>
      </c>
      <c r="D100">
        <f t="shared" si="1"/>
        <v>27.362214199759325</v>
      </c>
      <c r="E100">
        <v>1.254</v>
      </c>
      <c r="F100">
        <f t="shared" si="1"/>
        <v>73.210589651022872</v>
      </c>
    </row>
    <row r="101" spans="2:6" x14ac:dyDescent="0.35">
      <c r="B101">
        <v>41</v>
      </c>
      <c r="C101">
        <v>0.79600000000000004</v>
      </c>
      <c r="D101">
        <f t="shared" si="1"/>
        <v>45.653429602888089</v>
      </c>
      <c r="E101">
        <v>0.66700000000000004</v>
      </c>
      <c r="F101">
        <f t="shared" si="1"/>
        <v>37.891696750902526</v>
      </c>
    </row>
    <row r="102" spans="2:6" x14ac:dyDescent="0.35">
      <c r="C102">
        <v>0.60299999999999998</v>
      </c>
      <c r="D102">
        <f t="shared" si="1"/>
        <v>34.040914560770155</v>
      </c>
      <c r="E102">
        <v>0.71499999999999997</v>
      </c>
      <c r="F102">
        <f t="shared" si="1"/>
        <v>40.779783393501802</v>
      </c>
    </row>
    <row r="103" spans="2:6" x14ac:dyDescent="0.35">
      <c r="B103">
        <v>42</v>
      </c>
      <c r="C103">
        <v>0.32100000000000001</v>
      </c>
      <c r="D103">
        <f t="shared" si="1"/>
        <v>17.073405535499401</v>
      </c>
      <c r="E103">
        <v>0.629</v>
      </c>
      <c r="F103">
        <f t="shared" si="1"/>
        <v>35.605294825511429</v>
      </c>
    </row>
    <row r="104" spans="2:6" x14ac:dyDescent="0.35">
      <c r="C104">
        <v>0.32800000000000001</v>
      </c>
      <c r="D104">
        <f t="shared" si="1"/>
        <v>17.49458483754513</v>
      </c>
      <c r="E104">
        <v>0.65100000000000002</v>
      </c>
      <c r="F104">
        <f t="shared" si="1"/>
        <v>36.929001203369431</v>
      </c>
    </row>
    <row r="105" spans="2:6" x14ac:dyDescent="0.35">
      <c r="B105">
        <v>43</v>
      </c>
      <c r="C105">
        <v>0.51</v>
      </c>
      <c r="D105">
        <f t="shared" si="1"/>
        <v>28.445246690734056</v>
      </c>
      <c r="E105">
        <v>0.82899999999999996</v>
      </c>
      <c r="F105">
        <f t="shared" si="1"/>
        <v>47.638989169675085</v>
      </c>
    </row>
    <row r="106" spans="2:6" x14ac:dyDescent="0.35">
      <c r="C106">
        <v>0.53700000000000003</v>
      </c>
      <c r="D106">
        <f t="shared" si="1"/>
        <v>30.069795427196151</v>
      </c>
      <c r="E106">
        <v>0.81100000000000005</v>
      </c>
      <c r="F106">
        <f t="shared" si="1"/>
        <v>46.555956678700362</v>
      </c>
    </row>
    <row r="107" spans="2:6" x14ac:dyDescent="0.35">
      <c r="B107">
        <v>44</v>
      </c>
      <c r="C107">
        <v>0.42799999999999999</v>
      </c>
      <c r="D107">
        <f t="shared" si="1"/>
        <v>23.511432009626954</v>
      </c>
      <c r="E107">
        <v>1.081</v>
      </c>
      <c r="F107">
        <f t="shared" si="1"/>
        <v>62.801444043321304</v>
      </c>
    </row>
    <row r="108" spans="2:6" x14ac:dyDescent="0.35">
      <c r="C108">
        <v>0.44600000000000001</v>
      </c>
      <c r="D108">
        <f t="shared" si="1"/>
        <v>24.594464500601685</v>
      </c>
      <c r="E108">
        <v>1.1000000000000001</v>
      </c>
      <c r="F108">
        <f t="shared" si="1"/>
        <v>63.944645006016856</v>
      </c>
    </row>
    <row r="109" spans="2:6" x14ac:dyDescent="0.35">
      <c r="B109">
        <v>45</v>
      </c>
      <c r="C109">
        <v>0.45600000000000002</v>
      </c>
      <c r="D109">
        <f t="shared" si="1"/>
        <v>25.196149217809872</v>
      </c>
      <c r="E109">
        <v>0.74099999999999999</v>
      </c>
      <c r="F109">
        <f t="shared" si="1"/>
        <v>42.344163658243076</v>
      </c>
    </row>
    <row r="110" spans="2:6" x14ac:dyDescent="0.35">
      <c r="C110">
        <v>0.48099999999999998</v>
      </c>
      <c r="D110">
        <f t="shared" si="1"/>
        <v>26.700361010830324</v>
      </c>
      <c r="E110">
        <v>0.68700000000000006</v>
      </c>
      <c r="F110">
        <f t="shared" si="1"/>
        <v>39.095066185318892</v>
      </c>
    </row>
    <row r="111" spans="2:6" x14ac:dyDescent="0.35">
      <c r="B111">
        <v>46</v>
      </c>
      <c r="C111">
        <v>0.51400000000000001</v>
      </c>
      <c r="D111">
        <f t="shared" si="1"/>
        <v>28.685920577617331</v>
      </c>
      <c r="E111">
        <v>0.77100000000000002</v>
      </c>
      <c r="F111">
        <f t="shared" si="1"/>
        <v>44.149217809867629</v>
      </c>
    </row>
    <row r="112" spans="2:6" x14ac:dyDescent="0.35">
      <c r="C112">
        <v>0.50600000000000001</v>
      </c>
      <c r="D112">
        <f t="shared" si="1"/>
        <v>28.204572803850784</v>
      </c>
      <c r="E112">
        <v>0.72699999999999998</v>
      </c>
      <c r="F112">
        <f t="shared" si="1"/>
        <v>41.501805054151625</v>
      </c>
    </row>
    <row r="113" spans="2:6" x14ac:dyDescent="0.35">
      <c r="B113">
        <v>47</v>
      </c>
      <c r="C113">
        <v>0.44600000000000001</v>
      </c>
      <c r="D113">
        <f t="shared" si="1"/>
        <v>24.594464500601685</v>
      </c>
      <c r="E113">
        <v>0.47499999999999998</v>
      </c>
      <c r="F113">
        <f t="shared" si="1"/>
        <v>26.339350180505416</v>
      </c>
    </row>
    <row r="114" spans="2:6" x14ac:dyDescent="0.35">
      <c r="C114">
        <v>0.376</v>
      </c>
      <c r="D114">
        <f t="shared" si="1"/>
        <v>20.382671480144406</v>
      </c>
      <c r="E114">
        <v>0.52</v>
      </c>
      <c r="F114">
        <f t="shared" si="1"/>
        <v>29.046931407942242</v>
      </c>
    </row>
    <row r="115" spans="2:6" x14ac:dyDescent="0.35">
      <c r="B115">
        <v>48</v>
      </c>
      <c r="C115">
        <v>0.55000000000000004</v>
      </c>
      <c r="D115">
        <f t="shared" si="1"/>
        <v>30.851985559566788</v>
      </c>
      <c r="E115">
        <v>0.51800000000000002</v>
      </c>
      <c r="F115">
        <f t="shared" si="1"/>
        <v>28.926594464500603</v>
      </c>
    </row>
    <row r="116" spans="2:6" x14ac:dyDescent="0.35">
      <c r="C116">
        <v>0.52100000000000002</v>
      </c>
      <c r="D116">
        <f t="shared" si="1"/>
        <v>29.10709987966306</v>
      </c>
      <c r="E116">
        <v>0.55300000000000005</v>
      </c>
      <c r="F116">
        <f t="shared" si="1"/>
        <v>31.032490974729242</v>
      </c>
    </row>
    <row r="117" spans="2:6" x14ac:dyDescent="0.35">
      <c r="B117">
        <v>49</v>
      </c>
      <c r="C117">
        <v>0.38900000000000001</v>
      </c>
      <c r="D117">
        <f t="shared" si="1"/>
        <v>21.164861612515043</v>
      </c>
      <c r="E117">
        <v>0.49</v>
      </c>
      <c r="F117">
        <f t="shared" si="1"/>
        <v>27.241877256317689</v>
      </c>
    </row>
    <row r="118" spans="2:6" x14ac:dyDescent="0.35">
      <c r="C118">
        <v>0.44400000000000001</v>
      </c>
      <c r="D118">
        <f t="shared" si="1"/>
        <v>24.474127557160049</v>
      </c>
      <c r="E118">
        <v>0.58399999999999996</v>
      </c>
      <c r="F118">
        <f t="shared" si="1"/>
        <v>32.897713598074603</v>
      </c>
    </row>
    <row r="119" spans="2:6" x14ac:dyDescent="0.35">
      <c r="B119">
        <v>50</v>
      </c>
      <c r="C119">
        <v>0.34100000000000003</v>
      </c>
      <c r="D119">
        <f t="shared" si="1"/>
        <v>18.276774969915767</v>
      </c>
      <c r="E119">
        <v>0.73799999999999999</v>
      </c>
      <c r="F119">
        <f t="shared" si="1"/>
        <v>42.163658243080626</v>
      </c>
    </row>
    <row r="120" spans="2:6" x14ac:dyDescent="0.35">
      <c r="C120">
        <v>0.33200000000000002</v>
      </c>
      <c r="D120">
        <f t="shared" si="1"/>
        <v>17.735258724428402</v>
      </c>
      <c r="E120">
        <v>0.77200000000000002</v>
      </c>
      <c r="F120">
        <f t="shared" si="1"/>
        <v>44.209386281588451</v>
      </c>
    </row>
    <row r="121" spans="2:6" x14ac:dyDescent="0.35">
      <c r="B121">
        <v>51</v>
      </c>
      <c r="C121">
        <v>0.36199999999999999</v>
      </c>
      <c r="D121">
        <f t="shared" si="1"/>
        <v>19.540312876052948</v>
      </c>
      <c r="E121">
        <v>0.79500000000000004</v>
      </c>
      <c r="F121">
        <f t="shared" si="1"/>
        <v>45.593261131167267</v>
      </c>
    </row>
    <row r="122" spans="2:6" x14ac:dyDescent="0.35">
      <c r="C122">
        <v>0.32400000000000001</v>
      </c>
      <c r="D122">
        <f t="shared" si="1"/>
        <v>17.253910950661854</v>
      </c>
      <c r="E122">
        <v>0.70599999999999996</v>
      </c>
      <c r="F122">
        <f t="shared" si="1"/>
        <v>40.238267148014437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C8C5-47A8-4A6F-81A3-899B6542370E}">
  <dimension ref="A1:P103"/>
  <sheetViews>
    <sheetView topLeftCell="A80" zoomScale="85" zoomScaleNormal="85" workbookViewId="0">
      <selection sqref="A1:P103"/>
    </sheetView>
  </sheetViews>
  <sheetFormatPr baseColWidth="10" defaultRowHeight="14.5" x14ac:dyDescent="0.35"/>
  <cols>
    <col min="14" max="14" width="12.26953125" bestFit="1" customWidth="1"/>
    <col min="16" max="16" width="13.08984375" bestFit="1" customWidth="1"/>
  </cols>
  <sheetData>
    <row r="1" spans="1:16" x14ac:dyDescent="0.35">
      <c r="A1" s="17" t="s">
        <v>102</v>
      </c>
      <c r="B1" s="17" t="s">
        <v>72</v>
      </c>
      <c r="C1" s="17" t="s">
        <v>73</v>
      </c>
      <c r="D1" s="17" t="s">
        <v>74</v>
      </c>
      <c r="E1" s="17" t="s">
        <v>75</v>
      </c>
      <c r="F1" s="17" t="s">
        <v>103</v>
      </c>
      <c r="G1" s="17" t="s">
        <v>111</v>
      </c>
      <c r="H1" s="17" t="s">
        <v>106</v>
      </c>
      <c r="I1" s="17" t="s">
        <v>110</v>
      </c>
      <c r="J1" s="17" t="s">
        <v>109</v>
      </c>
      <c r="K1" s="17" t="s">
        <v>108</v>
      </c>
      <c r="L1" s="17" t="s">
        <v>107</v>
      </c>
      <c r="M1" s="17" t="s">
        <v>112</v>
      </c>
      <c r="N1" s="17" t="s">
        <v>113</v>
      </c>
      <c r="O1" s="17" t="s">
        <v>12</v>
      </c>
      <c r="P1" s="17" t="s">
        <v>13</v>
      </c>
    </row>
    <row r="2" spans="1:16" x14ac:dyDescent="0.35">
      <c r="A2">
        <v>1</v>
      </c>
      <c r="B2" t="s">
        <v>42</v>
      </c>
      <c r="C2" t="s">
        <v>77</v>
      </c>
      <c r="D2" t="s">
        <v>77</v>
      </c>
      <c r="E2" t="s">
        <v>77</v>
      </c>
      <c r="F2" t="s">
        <v>104</v>
      </c>
      <c r="G2">
        <v>7.2313000000000001</v>
      </c>
      <c r="H2">
        <v>-10.7897</v>
      </c>
      <c r="I2">
        <v>4.9528571428571616E-3</v>
      </c>
      <c r="J2">
        <v>-3.0649999999999997E-2</v>
      </c>
      <c r="K2">
        <v>17.908000000000001</v>
      </c>
      <c r="L2">
        <v>-4.0467500000000012</v>
      </c>
      <c r="M2">
        <v>3.6090000000000002E-3</v>
      </c>
      <c r="N2">
        <v>8.2649999999999988</v>
      </c>
      <c r="O2">
        <v>860.74999999999989</v>
      </c>
      <c r="P2">
        <v>28.685920577617331</v>
      </c>
    </row>
    <row r="3" spans="1:16" x14ac:dyDescent="0.35">
      <c r="A3">
        <v>2</v>
      </c>
      <c r="B3" t="s">
        <v>42</v>
      </c>
      <c r="C3" t="s">
        <v>77</v>
      </c>
      <c r="D3" t="s">
        <v>77</v>
      </c>
      <c r="E3" t="s">
        <v>77</v>
      </c>
      <c r="F3" t="s">
        <v>104</v>
      </c>
      <c r="G3">
        <v>7.9558499999999999</v>
      </c>
      <c r="H3">
        <v>-5.3513500000000001</v>
      </c>
      <c r="I3">
        <v>-5.1157142857142845E-2</v>
      </c>
      <c r="J3">
        <v>-2.4274999999999998E-2</v>
      </c>
      <c r="K3">
        <v>11.346499999999999</v>
      </c>
      <c r="L3">
        <v>-3.2777500000000011</v>
      </c>
      <c r="M3">
        <v>5.8650000000000004E-3</v>
      </c>
      <c r="N3">
        <v>5.7149999999999999</v>
      </c>
      <c r="O3">
        <v>578.24999999999977</v>
      </c>
      <c r="P3">
        <v>24.985559566787003</v>
      </c>
    </row>
    <row r="4" spans="1:16" x14ac:dyDescent="0.35">
      <c r="A4">
        <v>3</v>
      </c>
      <c r="B4" t="s">
        <v>42</v>
      </c>
      <c r="C4" t="s">
        <v>77</v>
      </c>
      <c r="D4" t="s">
        <v>77</v>
      </c>
      <c r="E4" t="s">
        <v>77</v>
      </c>
      <c r="F4" t="s">
        <v>104</v>
      </c>
      <c r="G4">
        <v>8.4469500000000011</v>
      </c>
      <c r="H4">
        <v>-7.3625999999999996</v>
      </c>
      <c r="I4">
        <v>-5.1157142857142845E-2</v>
      </c>
      <c r="J4">
        <v>-1.9505000000000002E-2</v>
      </c>
      <c r="K4">
        <v>15.070499999999999</v>
      </c>
      <c r="L4">
        <v>-8.5577499999999986</v>
      </c>
      <c r="M4">
        <v>1.6539999999999999E-3</v>
      </c>
      <c r="N4">
        <v>6.4050000000000011</v>
      </c>
      <c r="O4">
        <v>336.99999999999989</v>
      </c>
      <c r="P4">
        <v>21.194945848375454</v>
      </c>
    </row>
    <row r="5" spans="1:16" x14ac:dyDescent="0.35">
      <c r="A5">
        <v>4</v>
      </c>
      <c r="B5" t="s">
        <v>42</v>
      </c>
      <c r="C5" t="s">
        <v>77</v>
      </c>
      <c r="D5" t="s">
        <v>77</v>
      </c>
      <c r="E5" t="s">
        <v>77</v>
      </c>
      <c r="F5" t="s">
        <v>104</v>
      </c>
      <c r="G5">
        <v>8.0723000000000003</v>
      </c>
      <c r="H5">
        <v>-7.7692499999999995</v>
      </c>
      <c r="I5">
        <v>-0.11725714285714284</v>
      </c>
      <c r="J5">
        <v>-2.4645E-2</v>
      </c>
      <c r="K5">
        <v>10.754000000000001</v>
      </c>
      <c r="L5">
        <v>-9.401250000000001</v>
      </c>
      <c r="M5">
        <v>1.4660000000000001E-3</v>
      </c>
      <c r="N5">
        <v>5.625</v>
      </c>
      <c r="O5">
        <v>475.74999999999989</v>
      </c>
      <c r="P5">
        <v>22.217809867629363</v>
      </c>
    </row>
    <row r="6" spans="1:16" x14ac:dyDescent="0.35">
      <c r="A6">
        <v>5</v>
      </c>
      <c r="B6" t="s">
        <v>42</v>
      </c>
      <c r="C6" t="s">
        <v>77</v>
      </c>
      <c r="D6" t="s">
        <v>77</v>
      </c>
      <c r="E6" t="s">
        <v>77</v>
      </c>
      <c r="F6" t="s">
        <v>104</v>
      </c>
      <c r="G6">
        <v>9.9887499999999996</v>
      </c>
      <c r="H6">
        <v>-4.7940500000000004</v>
      </c>
      <c r="I6">
        <v>-6.4157142857142829E-2</v>
      </c>
      <c r="J6">
        <v>-1.8855E-2</v>
      </c>
      <c r="K6">
        <v>9.5443999999999996</v>
      </c>
      <c r="L6">
        <v>-3.5577500000000004</v>
      </c>
      <c r="M6">
        <v>3.1579999999999998E-3</v>
      </c>
      <c r="N6">
        <v>4.1550000000000002</v>
      </c>
      <c r="O6">
        <v>290.74999999999989</v>
      </c>
      <c r="P6">
        <v>22.217809867629363</v>
      </c>
    </row>
    <row r="7" spans="1:16" x14ac:dyDescent="0.35">
      <c r="A7">
        <v>6</v>
      </c>
      <c r="B7" t="s">
        <v>44</v>
      </c>
      <c r="C7" t="s">
        <v>77</v>
      </c>
      <c r="D7" t="s">
        <v>77</v>
      </c>
      <c r="E7" t="s">
        <v>77</v>
      </c>
      <c r="F7" t="s">
        <v>104</v>
      </c>
      <c r="G7">
        <v>8.5308500000000009</v>
      </c>
      <c r="H7">
        <v>-9.2689000000000004</v>
      </c>
      <c r="I7">
        <v>-9.9714285714283535E-4</v>
      </c>
      <c r="J7">
        <v>-2.3099999999999999E-2</v>
      </c>
      <c r="K7">
        <v>19.8735</v>
      </c>
      <c r="L7">
        <v>-4.9652500000000011</v>
      </c>
      <c r="M7">
        <v>1.6240000000000002E-3</v>
      </c>
      <c r="N7">
        <v>5.61</v>
      </c>
      <c r="O7">
        <v>196.99999999999989</v>
      </c>
      <c r="P7">
        <v>22.247894103489774</v>
      </c>
    </row>
    <row r="8" spans="1:16" x14ac:dyDescent="0.35">
      <c r="A8">
        <v>7</v>
      </c>
      <c r="B8" t="s">
        <v>44</v>
      </c>
      <c r="C8" t="s">
        <v>77</v>
      </c>
      <c r="D8" t="s">
        <v>77</v>
      </c>
      <c r="E8" t="s">
        <v>77</v>
      </c>
      <c r="F8" t="s">
        <v>104</v>
      </c>
      <c r="G8">
        <v>8.0462500000000006</v>
      </c>
      <c r="H8">
        <v>-7.7476500000000001</v>
      </c>
      <c r="I8">
        <v>-7.3557142857142849E-2</v>
      </c>
      <c r="J8">
        <v>-2.6605E-2</v>
      </c>
      <c r="K8">
        <v>21.551000000000002</v>
      </c>
      <c r="L8">
        <v>-8.2887500000000003</v>
      </c>
      <c r="M8">
        <v>3.1580000000000003E-4</v>
      </c>
      <c r="N8">
        <v>6.51</v>
      </c>
      <c r="O8">
        <v>440.74999999999994</v>
      </c>
      <c r="P8">
        <v>25.617328519855597</v>
      </c>
    </row>
    <row r="9" spans="1:16" x14ac:dyDescent="0.35">
      <c r="A9">
        <v>8</v>
      </c>
      <c r="B9" t="s">
        <v>44</v>
      </c>
      <c r="C9" t="s">
        <v>77</v>
      </c>
      <c r="D9" t="s">
        <v>77</v>
      </c>
      <c r="E9" t="s">
        <v>77</v>
      </c>
      <c r="F9" t="s">
        <v>104</v>
      </c>
      <c r="G9">
        <v>8.1576000000000004</v>
      </c>
      <c r="H9">
        <v>-13.567</v>
      </c>
      <c r="I9">
        <v>-0.14285714285714285</v>
      </c>
      <c r="J9">
        <v>-3.6670000000000001E-2</v>
      </c>
      <c r="K9">
        <v>19.291499999999999</v>
      </c>
      <c r="L9">
        <v>-14.740749999999998</v>
      </c>
      <c r="M9">
        <v>9.1090000000000008E-4</v>
      </c>
      <c r="N9">
        <v>7.6950000000000003</v>
      </c>
      <c r="O9">
        <v>625.75</v>
      </c>
      <c r="P9">
        <v>28.32490974729242</v>
      </c>
    </row>
    <row r="10" spans="1:16" x14ac:dyDescent="0.35">
      <c r="A10">
        <v>9</v>
      </c>
      <c r="B10" t="s">
        <v>44</v>
      </c>
      <c r="C10" t="s">
        <v>77</v>
      </c>
      <c r="D10" t="s">
        <v>77</v>
      </c>
      <c r="E10" t="s">
        <v>77</v>
      </c>
      <c r="F10" t="s">
        <v>104</v>
      </c>
      <c r="G10">
        <v>8.1356999999999999</v>
      </c>
      <c r="H10">
        <v>-7.5870499999999996</v>
      </c>
      <c r="I10">
        <v>3.6228571428571638E-3</v>
      </c>
      <c r="J10">
        <v>-2.9059999999999999E-2</v>
      </c>
      <c r="K10">
        <v>15.643000000000001</v>
      </c>
      <c r="L10">
        <v>-9.2522500000000001</v>
      </c>
      <c r="M10">
        <v>6.7670000000000004E-3</v>
      </c>
      <c r="N10">
        <v>3.57</v>
      </c>
      <c r="O10">
        <v>595.75</v>
      </c>
      <c r="P10">
        <v>30.942238267148014</v>
      </c>
    </row>
    <row r="11" spans="1:16" x14ac:dyDescent="0.35">
      <c r="A11">
        <v>10</v>
      </c>
      <c r="B11" t="s">
        <v>44</v>
      </c>
      <c r="C11" t="s">
        <v>77</v>
      </c>
      <c r="D11" t="s">
        <v>77</v>
      </c>
      <c r="E11" t="s">
        <v>77</v>
      </c>
      <c r="F11" t="s">
        <v>104</v>
      </c>
      <c r="G11">
        <v>8.8402499999999993</v>
      </c>
      <c r="H11">
        <v>-6.3127499999999994</v>
      </c>
      <c r="I11">
        <v>-3.4457142857142839E-2</v>
      </c>
      <c r="J11">
        <v>-3.5765000000000005E-2</v>
      </c>
      <c r="K11">
        <v>10.818999999999999</v>
      </c>
      <c r="L11">
        <v>-7.3302499999999995</v>
      </c>
      <c r="M11">
        <v>1.389E-2</v>
      </c>
      <c r="N11">
        <v>6.7499999999999991</v>
      </c>
      <c r="O11">
        <v>474.49999999999989</v>
      </c>
      <c r="P11">
        <v>26.279181708784598</v>
      </c>
    </row>
    <row r="12" spans="1:16" x14ac:dyDescent="0.35">
      <c r="A12">
        <v>11</v>
      </c>
      <c r="B12" t="s">
        <v>46</v>
      </c>
      <c r="C12" t="s">
        <v>77</v>
      </c>
      <c r="D12" t="s">
        <v>77</v>
      </c>
      <c r="E12" t="s">
        <v>77</v>
      </c>
      <c r="F12" t="s">
        <v>104</v>
      </c>
      <c r="G12">
        <v>8.546050000000001</v>
      </c>
      <c r="H12">
        <v>-13.353</v>
      </c>
      <c r="I12">
        <v>-8.7257142857142839E-2</v>
      </c>
      <c r="J12">
        <v>-0.03</v>
      </c>
      <c r="K12">
        <v>19.932000000000002</v>
      </c>
      <c r="L12">
        <v>-12.244750000000003</v>
      </c>
      <c r="M12">
        <v>7.4740000000000006E-3</v>
      </c>
      <c r="N12">
        <v>4.6349999999999998</v>
      </c>
      <c r="O12">
        <v>228.24999999999989</v>
      </c>
      <c r="P12">
        <v>26.730445246690735</v>
      </c>
    </row>
    <row r="13" spans="1:16" x14ac:dyDescent="0.35">
      <c r="A13">
        <v>12</v>
      </c>
      <c r="B13" t="s">
        <v>46</v>
      </c>
      <c r="C13" t="s">
        <v>77</v>
      </c>
      <c r="D13" t="s">
        <v>77</v>
      </c>
      <c r="E13" t="s">
        <v>77</v>
      </c>
      <c r="F13" t="s">
        <v>104</v>
      </c>
      <c r="G13">
        <v>9.1403999999999996</v>
      </c>
      <c r="H13">
        <v>-14.672499999999999</v>
      </c>
      <c r="I13">
        <v>-3.2571428571428335E-3</v>
      </c>
      <c r="J13">
        <v>-2.9929999999999998E-2</v>
      </c>
      <c r="K13">
        <v>16.1005</v>
      </c>
      <c r="L13">
        <v>-9.0247500000000009</v>
      </c>
      <c r="M13">
        <v>1.7999999999999999E-2</v>
      </c>
      <c r="N13">
        <v>3.9750000000000001</v>
      </c>
      <c r="O13">
        <v>435.74999999999989</v>
      </c>
      <c r="P13">
        <v>20.412755716004817</v>
      </c>
    </row>
    <row r="14" spans="1:16" x14ac:dyDescent="0.35">
      <c r="A14">
        <v>13</v>
      </c>
      <c r="B14" t="s">
        <v>46</v>
      </c>
      <c r="C14" t="s">
        <v>77</v>
      </c>
      <c r="D14" t="s">
        <v>77</v>
      </c>
      <c r="E14" t="s">
        <v>77</v>
      </c>
      <c r="F14" t="s">
        <v>104</v>
      </c>
      <c r="G14">
        <v>8.577</v>
      </c>
      <c r="H14">
        <v>-14.979500000000002</v>
      </c>
      <c r="I14">
        <v>-0.24765714285714283</v>
      </c>
      <c r="J14">
        <v>-2.7779999999999999E-2</v>
      </c>
      <c r="K14">
        <v>19.757000000000001</v>
      </c>
      <c r="L14">
        <v>-9.0697499999999991</v>
      </c>
      <c r="M14">
        <v>6.9470000000000001E-3</v>
      </c>
      <c r="N14">
        <v>5.3849999999999998</v>
      </c>
      <c r="O14">
        <v>283.24999999999994</v>
      </c>
      <c r="P14">
        <v>20.503008423586042</v>
      </c>
    </row>
    <row r="15" spans="1:16" x14ac:dyDescent="0.35">
      <c r="A15">
        <v>14</v>
      </c>
      <c r="B15" t="s">
        <v>46</v>
      </c>
      <c r="C15" t="s">
        <v>77</v>
      </c>
      <c r="D15" t="s">
        <v>77</v>
      </c>
      <c r="E15" t="s">
        <v>77</v>
      </c>
      <c r="F15" t="s">
        <v>104</v>
      </c>
      <c r="G15">
        <v>10.125</v>
      </c>
      <c r="H15">
        <v>-9.6249000000000002</v>
      </c>
      <c r="I15">
        <v>-3.5557142857142843E-2</v>
      </c>
      <c r="J15">
        <v>-2.9954999999999999E-2</v>
      </c>
      <c r="K15">
        <v>9.7968000000000011</v>
      </c>
      <c r="L15">
        <v>-5.6797499999999985</v>
      </c>
      <c r="M15">
        <v>2.65E-3</v>
      </c>
      <c r="N15">
        <v>3.54</v>
      </c>
      <c r="O15">
        <v>311.99999999999989</v>
      </c>
      <c r="P15">
        <v>23.15042117930205</v>
      </c>
    </row>
    <row r="16" spans="1:16" x14ac:dyDescent="0.35">
      <c r="A16">
        <v>15</v>
      </c>
      <c r="B16" t="s">
        <v>46</v>
      </c>
      <c r="C16" t="s">
        <v>77</v>
      </c>
      <c r="D16" t="s">
        <v>77</v>
      </c>
      <c r="E16" t="s">
        <v>77</v>
      </c>
      <c r="F16" t="s">
        <v>104</v>
      </c>
      <c r="G16">
        <v>9.4486500000000007</v>
      </c>
      <c r="H16">
        <v>-13.1775</v>
      </c>
      <c r="I16">
        <v>4.2728571428571616E-3</v>
      </c>
      <c r="J16">
        <v>-2.7200000000000002E-2</v>
      </c>
      <c r="K16">
        <v>19.232999999999997</v>
      </c>
      <c r="L16">
        <v>-7.5127500000000005</v>
      </c>
      <c r="M16">
        <v>3.6090000000000002E-3</v>
      </c>
      <c r="N16">
        <v>5.22</v>
      </c>
      <c r="O16">
        <v>140.74999999999989</v>
      </c>
      <c r="P16">
        <v>18.367027677496992</v>
      </c>
    </row>
    <row r="17" spans="1:16" x14ac:dyDescent="0.35">
      <c r="A17">
        <v>16</v>
      </c>
      <c r="B17" t="s">
        <v>42</v>
      </c>
      <c r="C17" t="s">
        <v>76</v>
      </c>
      <c r="D17" t="s">
        <v>77</v>
      </c>
      <c r="E17" t="s">
        <v>76</v>
      </c>
      <c r="F17" t="s">
        <v>104</v>
      </c>
      <c r="G17">
        <v>8.2417499999999997</v>
      </c>
      <c r="H17">
        <v>-4.8658000000000001</v>
      </c>
      <c r="I17">
        <v>-2.045714285714284E-2</v>
      </c>
      <c r="J17">
        <v>-3.6860000000000004E-2</v>
      </c>
      <c r="K17">
        <v>16.069000000000003</v>
      </c>
      <c r="L17">
        <v>-7.9402499999999989</v>
      </c>
      <c r="M17">
        <v>5.3680000000000004E-3</v>
      </c>
      <c r="N17">
        <v>6.9149999999999991</v>
      </c>
      <c r="O17">
        <v>506.99999999999994</v>
      </c>
      <c r="P17">
        <v>27.061371841155236</v>
      </c>
    </row>
    <row r="18" spans="1:16" x14ac:dyDescent="0.35">
      <c r="A18">
        <v>17</v>
      </c>
      <c r="B18" t="s">
        <v>42</v>
      </c>
      <c r="C18" t="s">
        <v>76</v>
      </c>
      <c r="D18" t="s">
        <v>77</v>
      </c>
      <c r="E18" t="s">
        <v>76</v>
      </c>
      <c r="F18" t="s">
        <v>104</v>
      </c>
      <c r="G18">
        <v>9.3702500000000004</v>
      </c>
      <c r="H18">
        <v>-13.172000000000001</v>
      </c>
      <c r="I18">
        <v>-0.10085714285714284</v>
      </c>
      <c r="J18">
        <v>-2.7584999999999998E-2</v>
      </c>
      <c r="K18">
        <v>17.747999999999998</v>
      </c>
      <c r="L18">
        <v>-11.06325</v>
      </c>
      <c r="M18">
        <v>6.5300000000000002E-3</v>
      </c>
      <c r="N18">
        <v>6.2399999999999993</v>
      </c>
      <c r="O18">
        <v>91.999999999999858</v>
      </c>
      <c r="P18">
        <v>19.299638989169679</v>
      </c>
    </row>
    <row r="19" spans="1:16" x14ac:dyDescent="0.35">
      <c r="A19">
        <v>18</v>
      </c>
      <c r="B19" t="s">
        <v>42</v>
      </c>
      <c r="C19" t="s">
        <v>76</v>
      </c>
      <c r="D19" t="s">
        <v>77</v>
      </c>
      <c r="E19" t="s">
        <v>76</v>
      </c>
      <c r="F19" t="s">
        <v>104</v>
      </c>
      <c r="G19">
        <v>8.3994</v>
      </c>
      <c r="H19">
        <v>-15.237500000000001</v>
      </c>
      <c r="I19">
        <v>-3.3957142857142839E-2</v>
      </c>
      <c r="J19">
        <v>-3.8115000000000003E-2</v>
      </c>
      <c r="K19">
        <v>15.384</v>
      </c>
      <c r="L19">
        <v>-8.6742500000000007</v>
      </c>
      <c r="M19">
        <v>1.6240000000000001E-2</v>
      </c>
      <c r="N19">
        <v>5.04</v>
      </c>
      <c r="O19">
        <v>446.99999999999989</v>
      </c>
      <c r="P19">
        <v>30.821901323706378</v>
      </c>
    </row>
    <row r="20" spans="1:16" x14ac:dyDescent="0.35">
      <c r="A20">
        <v>19</v>
      </c>
      <c r="B20" t="s">
        <v>44</v>
      </c>
      <c r="C20" t="s">
        <v>76</v>
      </c>
      <c r="D20" t="s">
        <v>77</v>
      </c>
      <c r="E20" t="s">
        <v>76</v>
      </c>
      <c r="F20" t="s">
        <v>104</v>
      </c>
      <c r="G20">
        <v>7.5098000000000003</v>
      </c>
      <c r="H20">
        <v>-15.652999999999999</v>
      </c>
      <c r="I20">
        <v>-1.7157142857142843E-2</v>
      </c>
      <c r="J20">
        <v>-3.7680000000000005E-2</v>
      </c>
      <c r="K20">
        <v>21.773</v>
      </c>
      <c r="L20">
        <v>-8.9787500000000016</v>
      </c>
      <c r="M20">
        <v>2.8010000000000001E-3</v>
      </c>
      <c r="N20">
        <v>7.5449999999999999</v>
      </c>
      <c r="O20">
        <v>233.24999999999997</v>
      </c>
      <c r="P20">
        <v>26.610108303249099</v>
      </c>
    </row>
    <row r="21" spans="1:16" x14ac:dyDescent="0.35">
      <c r="A21">
        <v>20</v>
      </c>
      <c r="B21" t="s">
        <v>44</v>
      </c>
      <c r="C21" t="s">
        <v>76</v>
      </c>
      <c r="D21" t="s">
        <v>77</v>
      </c>
      <c r="E21" t="s">
        <v>76</v>
      </c>
      <c r="F21" t="s">
        <v>104</v>
      </c>
      <c r="G21">
        <v>9.4717000000000002</v>
      </c>
      <c r="H21">
        <v>-14.313500000000001</v>
      </c>
      <c r="I21">
        <v>-4.0857142857142842E-2</v>
      </c>
      <c r="J21">
        <v>-3.3960000000000004E-2</v>
      </c>
      <c r="K21">
        <v>13.695499999999999</v>
      </c>
      <c r="L21">
        <v>-10.240250000000003</v>
      </c>
      <c r="M21">
        <v>1.444E-2</v>
      </c>
      <c r="N21">
        <v>5.52</v>
      </c>
      <c r="O21">
        <v>620.74999999999989</v>
      </c>
      <c r="P21">
        <v>25.948255114320098</v>
      </c>
    </row>
    <row r="22" spans="1:16" x14ac:dyDescent="0.35">
      <c r="A22">
        <v>21</v>
      </c>
      <c r="B22" t="s">
        <v>44</v>
      </c>
      <c r="C22" t="s">
        <v>76</v>
      </c>
      <c r="D22" t="s">
        <v>77</v>
      </c>
      <c r="E22" t="s">
        <v>76</v>
      </c>
      <c r="F22" t="s">
        <v>104</v>
      </c>
      <c r="G22">
        <v>7.5165000000000006</v>
      </c>
      <c r="H22">
        <v>-16.133500000000002</v>
      </c>
      <c r="I22">
        <v>-1.1471428571428327E-3</v>
      </c>
      <c r="J22">
        <v>-3.2704999999999998E-2</v>
      </c>
      <c r="K22">
        <v>20.810500000000001</v>
      </c>
      <c r="L22">
        <v>-9.414749999999998</v>
      </c>
      <c r="M22">
        <v>2.725E-3</v>
      </c>
      <c r="N22">
        <v>6.9449999999999994</v>
      </c>
      <c r="O22">
        <v>488.24999999999989</v>
      </c>
      <c r="P22">
        <v>33.318892900120339</v>
      </c>
    </row>
    <row r="23" spans="1:16" x14ac:dyDescent="0.35">
      <c r="A23">
        <v>22</v>
      </c>
      <c r="B23" t="s">
        <v>46</v>
      </c>
      <c r="C23" t="s">
        <v>76</v>
      </c>
      <c r="D23" t="s">
        <v>77</v>
      </c>
      <c r="E23" t="s">
        <v>76</v>
      </c>
      <c r="F23" t="s">
        <v>104</v>
      </c>
      <c r="G23">
        <v>9.6321000000000012</v>
      </c>
      <c r="H23">
        <v>-15.064</v>
      </c>
      <c r="I23">
        <v>1.9952857142857161E-2</v>
      </c>
      <c r="J23">
        <v>-2.7295E-2</v>
      </c>
      <c r="K23">
        <v>14.7585</v>
      </c>
      <c r="L23">
        <v>-7.0462500000000006</v>
      </c>
      <c r="M23">
        <v>2.6284999999999998E-3</v>
      </c>
      <c r="N23">
        <v>3.9750000000000001</v>
      </c>
      <c r="O23">
        <v>8.2499999999999236</v>
      </c>
      <c r="P23">
        <v>24.955475330926596</v>
      </c>
    </row>
    <row r="24" spans="1:16" x14ac:dyDescent="0.35">
      <c r="A24">
        <v>23</v>
      </c>
      <c r="B24" t="s">
        <v>46</v>
      </c>
      <c r="C24" t="s">
        <v>76</v>
      </c>
      <c r="D24" t="s">
        <v>77</v>
      </c>
      <c r="E24" t="s">
        <v>76</v>
      </c>
      <c r="F24" t="s">
        <v>104</v>
      </c>
      <c r="G24">
        <v>7.3338999999999999</v>
      </c>
      <c r="H24">
        <v>-14.617000000000001</v>
      </c>
      <c r="I24">
        <v>-3.9657142857142835E-2</v>
      </c>
      <c r="J24">
        <v>-3.7559999999999996E-2</v>
      </c>
      <c r="K24">
        <v>18.540500000000002</v>
      </c>
      <c r="L24">
        <v>-5.8012500000000031</v>
      </c>
      <c r="M24">
        <v>8.6049999999999998E-3</v>
      </c>
      <c r="N24">
        <v>6.81</v>
      </c>
      <c r="O24">
        <v>390.75</v>
      </c>
      <c r="P24">
        <v>27.332129963898918</v>
      </c>
    </row>
    <row r="25" spans="1:16" x14ac:dyDescent="0.35">
      <c r="A25">
        <v>24</v>
      </c>
      <c r="B25" t="s">
        <v>46</v>
      </c>
      <c r="C25" t="s">
        <v>76</v>
      </c>
      <c r="D25" t="s">
        <v>77</v>
      </c>
      <c r="E25" t="s">
        <v>76</v>
      </c>
      <c r="F25" t="s">
        <v>104</v>
      </c>
      <c r="G25">
        <v>9.4273500000000006</v>
      </c>
      <c r="H25">
        <v>-15.3645</v>
      </c>
      <c r="I25">
        <v>-1.5157142857142841E-2</v>
      </c>
      <c r="J25">
        <v>-3.5409999999999997E-2</v>
      </c>
      <c r="K25">
        <v>27.2605</v>
      </c>
      <c r="L25">
        <v>-13.52975</v>
      </c>
      <c r="M25">
        <v>1.8405000000000001E-2</v>
      </c>
      <c r="N25">
        <v>7.38</v>
      </c>
      <c r="O25">
        <v>179.49999999999994</v>
      </c>
      <c r="P25">
        <v>28.565583634175695</v>
      </c>
    </row>
    <row r="26" spans="1:16" x14ac:dyDescent="0.35">
      <c r="A26">
        <v>25</v>
      </c>
      <c r="B26" t="s">
        <v>42</v>
      </c>
      <c r="C26" t="s">
        <v>77</v>
      </c>
      <c r="D26" t="s">
        <v>77</v>
      </c>
      <c r="E26" t="s">
        <v>76</v>
      </c>
      <c r="F26" t="s">
        <v>104</v>
      </c>
      <c r="G26">
        <v>7.6133000000000006</v>
      </c>
      <c r="H26">
        <v>-8.5684500000000003</v>
      </c>
      <c r="I26">
        <v>4.1728571428571587E-3</v>
      </c>
      <c r="J26">
        <v>-3.193E-2</v>
      </c>
      <c r="K26">
        <v>12.7295</v>
      </c>
      <c r="L26">
        <v>-3.9067500000000006</v>
      </c>
      <c r="M26">
        <v>1.6799999999999999E-2</v>
      </c>
      <c r="N26">
        <v>6.54</v>
      </c>
      <c r="O26">
        <v>408.24999999999989</v>
      </c>
      <c r="P26">
        <v>29.979542719614926</v>
      </c>
    </row>
    <row r="27" spans="1:16" x14ac:dyDescent="0.35">
      <c r="A27">
        <v>26</v>
      </c>
      <c r="B27" t="s">
        <v>42</v>
      </c>
      <c r="C27" t="s">
        <v>77</v>
      </c>
      <c r="D27" t="s">
        <v>77</v>
      </c>
      <c r="E27" t="s">
        <v>76</v>
      </c>
      <c r="F27" t="s">
        <v>104</v>
      </c>
      <c r="G27">
        <v>7.8221500000000006</v>
      </c>
      <c r="H27">
        <v>-6.89175</v>
      </c>
      <c r="I27">
        <v>-2.8857142857142831E-2</v>
      </c>
      <c r="J27">
        <v>-2.7465E-2</v>
      </c>
      <c r="K27">
        <v>12.4803</v>
      </c>
      <c r="L27">
        <v>-5.7277500000000003</v>
      </c>
      <c r="M27">
        <v>2.9774999999999999E-2</v>
      </c>
      <c r="N27">
        <v>7.0349999999999993</v>
      </c>
      <c r="O27">
        <v>225.74999999999991</v>
      </c>
      <c r="P27">
        <v>37.891696750902526</v>
      </c>
    </row>
    <row r="28" spans="1:16" x14ac:dyDescent="0.35">
      <c r="A28">
        <v>27</v>
      </c>
      <c r="B28" t="s">
        <v>42</v>
      </c>
      <c r="C28" t="s">
        <v>77</v>
      </c>
      <c r="D28" t="s">
        <v>77</v>
      </c>
      <c r="E28" t="s">
        <v>76</v>
      </c>
      <c r="F28" t="s">
        <v>104</v>
      </c>
      <c r="G28">
        <v>6.6543000000000001</v>
      </c>
      <c r="H28">
        <v>-15.336</v>
      </c>
      <c r="I28">
        <v>2.3092857142857165E-2</v>
      </c>
      <c r="J28">
        <v>-2.7360000000000002E-2</v>
      </c>
      <c r="K28">
        <v>14.733000000000001</v>
      </c>
      <c r="L28">
        <v>-19.720750000000002</v>
      </c>
      <c r="M28">
        <v>9.5904999999999992E-4</v>
      </c>
      <c r="N28">
        <v>5.79</v>
      </c>
      <c r="O28">
        <v>480.74999999999989</v>
      </c>
      <c r="P28">
        <v>14.425992779783396</v>
      </c>
    </row>
    <row r="29" spans="1:16" x14ac:dyDescent="0.35">
      <c r="A29">
        <v>28</v>
      </c>
      <c r="B29" t="s">
        <v>44</v>
      </c>
      <c r="C29" t="s">
        <v>77</v>
      </c>
      <c r="D29" t="s">
        <v>77</v>
      </c>
      <c r="E29" t="s">
        <v>76</v>
      </c>
      <c r="F29" t="s">
        <v>104</v>
      </c>
      <c r="G29">
        <v>7.6839000000000004</v>
      </c>
      <c r="H29">
        <v>-12.439</v>
      </c>
      <c r="I29">
        <v>-5.6057142857142833E-2</v>
      </c>
      <c r="J29">
        <v>-3.0304999999999999E-2</v>
      </c>
      <c r="K29">
        <v>9.2056500000000003</v>
      </c>
      <c r="L29">
        <v>-3.6837500000000016</v>
      </c>
      <c r="M29">
        <v>1.308E-2</v>
      </c>
      <c r="N29">
        <v>6.3750000000000009</v>
      </c>
      <c r="O29">
        <v>466.99999999999989</v>
      </c>
      <c r="P29">
        <v>29.347773766546332</v>
      </c>
    </row>
    <row r="30" spans="1:16" x14ac:dyDescent="0.35">
      <c r="A30">
        <v>29</v>
      </c>
      <c r="B30" t="s">
        <v>44</v>
      </c>
      <c r="C30" t="s">
        <v>77</v>
      </c>
      <c r="D30" t="s">
        <v>77</v>
      </c>
      <c r="E30" t="s">
        <v>76</v>
      </c>
      <c r="F30" t="s">
        <v>104</v>
      </c>
      <c r="G30">
        <v>7.4567499999999995</v>
      </c>
      <c r="H30">
        <v>-9.0439499999999988</v>
      </c>
      <c r="I30">
        <v>1.9428571428571628E-3</v>
      </c>
      <c r="J30">
        <v>-3.7085E-2</v>
      </c>
      <c r="K30">
        <v>11.1266</v>
      </c>
      <c r="L30">
        <v>-4.4857499999999995</v>
      </c>
      <c r="M30">
        <v>2.6210000000000001E-2</v>
      </c>
      <c r="N30">
        <v>6.75</v>
      </c>
      <c r="O30">
        <v>465.74999999999989</v>
      </c>
      <c r="P30">
        <v>34.762936221419977</v>
      </c>
    </row>
    <row r="31" spans="1:16" x14ac:dyDescent="0.35">
      <c r="A31">
        <v>30</v>
      </c>
      <c r="B31" t="s">
        <v>44</v>
      </c>
      <c r="C31" t="s">
        <v>77</v>
      </c>
      <c r="D31" t="s">
        <v>77</v>
      </c>
      <c r="E31" t="s">
        <v>76</v>
      </c>
      <c r="F31" t="s">
        <v>104</v>
      </c>
      <c r="G31">
        <v>8.8612000000000002</v>
      </c>
      <c r="H31">
        <v>-6.2913499999999996</v>
      </c>
      <c r="I31">
        <v>-1.0407142857142837E-2</v>
      </c>
      <c r="J31">
        <v>-2.2960000000000001E-2</v>
      </c>
      <c r="K31">
        <v>11.071350000000001</v>
      </c>
      <c r="L31">
        <v>-4.2877500000000008</v>
      </c>
      <c r="M31">
        <v>1.20695E-2</v>
      </c>
      <c r="N31">
        <v>5.0399999999999991</v>
      </c>
      <c r="O31">
        <v>233.24999999999991</v>
      </c>
      <c r="P31">
        <v>26.459687123947052</v>
      </c>
    </row>
    <row r="32" spans="1:16" x14ac:dyDescent="0.35">
      <c r="A32">
        <v>31</v>
      </c>
      <c r="B32" t="s">
        <v>46</v>
      </c>
      <c r="C32" t="s">
        <v>77</v>
      </c>
      <c r="D32" t="s">
        <v>77</v>
      </c>
      <c r="E32" t="s">
        <v>76</v>
      </c>
      <c r="F32" t="s">
        <v>104</v>
      </c>
      <c r="G32">
        <v>10.949000000000002</v>
      </c>
      <c r="H32">
        <v>-3.9877000000000002</v>
      </c>
      <c r="I32">
        <v>-2.1857142857142839E-2</v>
      </c>
      <c r="J32">
        <v>-1.1900000000000001E-2</v>
      </c>
      <c r="K32">
        <v>8.8488500000000005</v>
      </c>
      <c r="L32">
        <v>-1.8932500000000019</v>
      </c>
      <c r="M32">
        <v>3.8909999999999999E-3</v>
      </c>
      <c r="N32">
        <v>2.2950000000000004</v>
      </c>
      <c r="O32">
        <v>153.24999999999989</v>
      </c>
      <c r="P32">
        <v>14.516245487364621</v>
      </c>
    </row>
    <row r="33" spans="1:16" x14ac:dyDescent="0.35">
      <c r="A33">
        <v>32</v>
      </c>
      <c r="B33" t="s">
        <v>46</v>
      </c>
      <c r="C33" t="s">
        <v>77</v>
      </c>
      <c r="D33" t="s">
        <v>77</v>
      </c>
      <c r="E33" t="s">
        <v>76</v>
      </c>
      <c r="F33" t="s">
        <v>104</v>
      </c>
      <c r="G33">
        <v>8.4700000000000006</v>
      </c>
      <c r="H33">
        <v>-4.9444499999999998</v>
      </c>
      <c r="I33">
        <v>-1.5457142857142836E-2</v>
      </c>
      <c r="J33">
        <v>-2.3219999999999998E-2</v>
      </c>
      <c r="K33">
        <v>12.5685</v>
      </c>
      <c r="L33">
        <v>-2.6547499999999999</v>
      </c>
      <c r="M33">
        <v>2.1054999999999997E-2</v>
      </c>
      <c r="N33">
        <v>4.74</v>
      </c>
      <c r="O33">
        <v>190.74999999999994</v>
      </c>
      <c r="P33">
        <v>40.117930204572801</v>
      </c>
    </row>
    <row r="34" spans="1:16" x14ac:dyDescent="0.35">
      <c r="A34">
        <v>33</v>
      </c>
      <c r="B34" t="s">
        <v>46</v>
      </c>
      <c r="C34" t="s">
        <v>77</v>
      </c>
      <c r="D34" t="s">
        <v>77</v>
      </c>
      <c r="E34" t="s">
        <v>76</v>
      </c>
      <c r="F34" t="s">
        <v>104</v>
      </c>
      <c r="G34">
        <v>9.0488499999999998</v>
      </c>
      <c r="H34">
        <v>-9.6183499999999995</v>
      </c>
      <c r="I34">
        <v>3.8528571428571579E-3</v>
      </c>
      <c r="J34">
        <v>-2.8424999999999999E-2</v>
      </c>
      <c r="K34">
        <v>11.224499999999999</v>
      </c>
      <c r="L34">
        <v>-3.2932500000000005</v>
      </c>
      <c r="M34">
        <v>2.7630000000000003E-3</v>
      </c>
      <c r="N34">
        <v>5.415</v>
      </c>
      <c r="O34">
        <v>456.99999999999989</v>
      </c>
      <c r="P34">
        <v>32.777376654632974</v>
      </c>
    </row>
    <row r="35" spans="1:16" x14ac:dyDescent="0.35">
      <c r="A35">
        <v>34</v>
      </c>
      <c r="B35" t="s">
        <v>42</v>
      </c>
      <c r="C35" t="s">
        <v>77</v>
      </c>
      <c r="D35" t="s">
        <v>76</v>
      </c>
      <c r="E35" t="s">
        <v>76</v>
      </c>
      <c r="F35" t="s">
        <v>104</v>
      </c>
      <c r="G35">
        <v>9.4120500000000007</v>
      </c>
      <c r="H35">
        <v>-13.129999999999999</v>
      </c>
      <c r="I35">
        <v>2.4132857142857164E-2</v>
      </c>
      <c r="J35">
        <v>-2.7654999999999999E-2</v>
      </c>
      <c r="K35">
        <v>9.4024999999999999</v>
      </c>
      <c r="L35">
        <v>-1.6417500000000018</v>
      </c>
      <c r="M35">
        <v>1.2397999999999999E-2</v>
      </c>
      <c r="N35">
        <v>5.64</v>
      </c>
      <c r="O35">
        <v>575.74999999999989</v>
      </c>
      <c r="P35">
        <v>26.219013237063777</v>
      </c>
    </row>
    <row r="36" spans="1:16" x14ac:dyDescent="0.35">
      <c r="A36">
        <v>35</v>
      </c>
      <c r="B36" t="s">
        <v>42</v>
      </c>
      <c r="C36" t="s">
        <v>77</v>
      </c>
      <c r="D36" t="s">
        <v>76</v>
      </c>
      <c r="E36" t="s">
        <v>76</v>
      </c>
      <c r="F36" t="s">
        <v>104</v>
      </c>
      <c r="G36">
        <v>9.1686499999999995</v>
      </c>
      <c r="H36">
        <v>-12.8245</v>
      </c>
      <c r="I36">
        <v>1.7028571428571587E-3</v>
      </c>
      <c r="J36">
        <v>-2.2589999999999999E-2</v>
      </c>
      <c r="K36">
        <v>9.3461499999999997</v>
      </c>
      <c r="L36">
        <v>-1.1077500000000011</v>
      </c>
      <c r="M36">
        <v>5.1090000000000007E-3</v>
      </c>
      <c r="N36">
        <v>5.76</v>
      </c>
      <c r="O36">
        <v>849.5</v>
      </c>
      <c r="P36">
        <v>30.400722021660648</v>
      </c>
    </row>
    <row r="37" spans="1:16" x14ac:dyDescent="0.35">
      <c r="A37">
        <v>36</v>
      </c>
      <c r="B37" t="s">
        <v>42</v>
      </c>
      <c r="C37" t="s">
        <v>77</v>
      </c>
      <c r="D37" t="s">
        <v>76</v>
      </c>
      <c r="E37" t="s">
        <v>76</v>
      </c>
      <c r="F37" t="s">
        <v>104</v>
      </c>
      <c r="G37">
        <v>9.6214999999999993</v>
      </c>
      <c r="H37">
        <v>-11.1195</v>
      </c>
      <c r="I37">
        <v>3.5432857142857162E-2</v>
      </c>
      <c r="J37">
        <v>-2.1194999999999999E-2</v>
      </c>
      <c r="K37">
        <v>11.184899999999999</v>
      </c>
      <c r="L37">
        <v>-3.2677500000000013</v>
      </c>
      <c r="M37">
        <v>4.6840000000000007E-3</v>
      </c>
      <c r="N37">
        <v>4.4550000000000001</v>
      </c>
      <c r="O37">
        <v>504.49999999999994</v>
      </c>
      <c r="P37">
        <v>22.458483754512635</v>
      </c>
    </row>
    <row r="38" spans="1:16" x14ac:dyDescent="0.35">
      <c r="A38">
        <v>37</v>
      </c>
      <c r="B38" t="s">
        <v>44</v>
      </c>
      <c r="C38" t="s">
        <v>77</v>
      </c>
      <c r="D38" t="s">
        <v>76</v>
      </c>
      <c r="E38" t="s">
        <v>76</v>
      </c>
      <c r="F38" t="s">
        <v>104</v>
      </c>
      <c r="G38">
        <v>8.7143999999999995</v>
      </c>
      <c r="H38">
        <v>-10.426349999999999</v>
      </c>
      <c r="I38">
        <v>5.4828571428571643E-3</v>
      </c>
      <c r="J38">
        <v>-2.1545000000000002E-2</v>
      </c>
      <c r="K38">
        <v>12.716999999999999</v>
      </c>
      <c r="L38">
        <v>-6.4327500000000022</v>
      </c>
      <c r="M38">
        <v>1.6410000000000001E-2</v>
      </c>
      <c r="N38">
        <v>6.7650000000000006</v>
      </c>
      <c r="O38">
        <v>254.49999999999994</v>
      </c>
      <c r="P38">
        <v>35.755716004813479</v>
      </c>
    </row>
    <row r="39" spans="1:16" x14ac:dyDescent="0.35">
      <c r="A39">
        <v>38</v>
      </c>
      <c r="B39" t="s">
        <v>44</v>
      </c>
      <c r="C39" t="s">
        <v>77</v>
      </c>
      <c r="D39" t="s">
        <v>76</v>
      </c>
      <c r="E39" t="s">
        <v>76</v>
      </c>
      <c r="F39" t="s">
        <v>104</v>
      </c>
      <c r="G39">
        <v>8.8660999999999994</v>
      </c>
      <c r="H39">
        <v>-11.96105</v>
      </c>
      <c r="I39">
        <v>3.6572857142857164E-2</v>
      </c>
      <c r="J39">
        <v>-2.5829999999999999E-2</v>
      </c>
      <c r="K39">
        <v>11.829000000000001</v>
      </c>
      <c r="L39">
        <v>-7.137750000000004</v>
      </c>
      <c r="M39">
        <v>5.0680000000000003E-2</v>
      </c>
      <c r="N39">
        <v>5.1150000000000002</v>
      </c>
      <c r="O39">
        <v>304.5</v>
      </c>
      <c r="P39">
        <v>33.770156438026476</v>
      </c>
    </row>
    <row r="40" spans="1:16" x14ac:dyDescent="0.35">
      <c r="A40">
        <v>39</v>
      </c>
      <c r="B40" t="s">
        <v>44</v>
      </c>
      <c r="C40" t="s">
        <v>77</v>
      </c>
      <c r="D40" t="s">
        <v>76</v>
      </c>
      <c r="E40" t="s">
        <v>76</v>
      </c>
      <c r="F40" t="s">
        <v>104</v>
      </c>
      <c r="G40">
        <v>10.1747</v>
      </c>
      <c r="H40">
        <v>-13.5655</v>
      </c>
      <c r="I40">
        <v>1.2232857142857156E-2</v>
      </c>
      <c r="J40">
        <v>-3.0259999999999999E-2</v>
      </c>
      <c r="K40">
        <v>11.440999999999999</v>
      </c>
      <c r="L40">
        <v>-5.235750000000003</v>
      </c>
      <c r="M40">
        <v>2.2440000000000002E-2</v>
      </c>
      <c r="N40">
        <v>5.2350000000000003</v>
      </c>
      <c r="O40">
        <v>710.75</v>
      </c>
      <c r="P40">
        <v>34.823104693140792</v>
      </c>
    </row>
    <row r="41" spans="1:16" x14ac:dyDescent="0.35">
      <c r="A41">
        <v>40</v>
      </c>
      <c r="B41" t="s">
        <v>46</v>
      </c>
      <c r="C41" t="s">
        <v>77</v>
      </c>
      <c r="D41" t="s">
        <v>76</v>
      </c>
      <c r="E41" t="s">
        <v>76</v>
      </c>
      <c r="F41" t="s">
        <v>104</v>
      </c>
      <c r="G41">
        <v>9.7067999999999994</v>
      </c>
      <c r="H41">
        <v>-8.8269000000000002</v>
      </c>
      <c r="I41">
        <v>3.1428571428571694E-3</v>
      </c>
      <c r="J41">
        <v>-1.8849999999999999E-2</v>
      </c>
      <c r="K41">
        <v>10.1053</v>
      </c>
      <c r="L41">
        <v>-3.3052500000000009</v>
      </c>
      <c r="M41">
        <v>7.5565000000000007E-3</v>
      </c>
      <c r="N41">
        <v>6.15</v>
      </c>
      <c r="O41">
        <v>234.49999999999991</v>
      </c>
      <c r="P41">
        <v>26.249097472924188</v>
      </c>
    </row>
    <row r="42" spans="1:16" x14ac:dyDescent="0.35">
      <c r="A42">
        <v>41</v>
      </c>
      <c r="B42" t="s">
        <v>46</v>
      </c>
      <c r="C42" t="s">
        <v>77</v>
      </c>
      <c r="D42" t="s">
        <v>76</v>
      </c>
      <c r="E42" t="s">
        <v>76</v>
      </c>
      <c r="F42" t="s">
        <v>104</v>
      </c>
      <c r="G42">
        <v>7.0092999999999996</v>
      </c>
      <c r="H42">
        <v>-5.1094500000000007</v>
      </c>
      <c r="I42">
        <v>8.5285714285716907E-4</v>
      </c>
      <c r="J42">
        <v>-2.2030000000000001E-2</v>
      </c>
      <c r="K42">
        <v>10.69425</v>
      </c>
      <c r="L42">
        <v>-3.8562500000000011</v>
      </c>
      <c r="M42">
        <v>7.8949999999999992E-3</v>
      </c>
      <c r="N42">
        <v>7.1549999999999994</v>
      </c>
      <c r="O42">
        <v>400.99999999999994</v>
      </c>
      <c r="P42">
        <v>39.847172081829122</v>
      </c>
    </row>
    <row r="43" spans="1:16" x14ac:dyDescent="0.35">
      <c r="A43">
        <v>42</v>
      </c>
      <c r="B43" t="s">
        <v>46</v>
      </c>
      <c r="C43" t="s">
        <v>77</v>
      </c>
      <c r="D43" t="s">
        <v>76</v>
      </c>
      <c r="E43" t="s">
        <v>76</v>
      </c>
      <c r="F43" t="s">
        <v>104</v>
      </c>
      <c r="G43">
        <v>9.7987000000000002</v>
      </c>
      <c r="H43">
        <v>-5.6951999999999998</v>
      </c>
      <c r="I43">
        <v>7.5828571428571689E-3</v>
      </c>
      <c r="J43">
        <v>-1.5130000000000001E-2</v>
      </c>
      <c r="K43">
        <v>7.1057500000000005</v>
      </c>
      <c r="L43">
        <v>-1.853250000000001</v>
      </c>
      <c r="M43">
        <v>2.6845000000000003E-3</v>
      </c>
      <c r="N43">
        <v>3.8250000000000002</v>
      </c>
      <c r="O43">
        <v>142.24999999999989</v>
      </c>
      <c r="P43">
        <v>17.283995186522265</v>
      </c>
    </row>
    <row r="44" spans="1:16" x14ac:dyDescent="0.35">
      <c r="A44">
        <v>43</v>
      </c>
      <c r="B44" t="s">
        <v>42</v>
      </c>
      <c r="C44" t="s">
        <v>77</v>
      </c>
      <c r="D44" t="s">
        <v>77</v>
      </c>
      <c r="E44" t="s">
        <v>76</v>
      </c>
      <c r="F44" t="s">
        <v>104</v>
      </c>
      <c r="G44">
        <v>8.4954000000000001</v>
      </c>
      <c r="H44">
        <v>-6.7548000000000004</v>
      </c>
      <c r="I44">
        <v>1.7902857142857165E-2</v>
      </c>
      <c r="J44">
        <v>-3.3055000000000001E-2</v>
      </c>
      <c r="K44">
        <v>14.685500000000001</v>
      </c>
      <c r="L44">
        <v>-9.0247500000000009</v>
      </c>
      <c r="M44">
        <v>1.2449999999999999E-2</v>
      </c>
      <c r="N44">
        <v>8.3249999999999993</v>
      </c>
      <c r="O44">
        <v>412.24999999999994</v>
      </c>
      <c r="P44">
        <v>29.257521058965104</v>
      </c>
    </row>
    <row r="45" spans="1:16" x14ac:dyDescent="0.35">
      <c r="A45">
        <v>44</v>
      </c>
      <c r="B45" t="s">
        <v>42</v>
      </c>
      <c r="C45" t="s">
        <v>77</v>
      </c>
      <c r="D45" t="s">
        <v>77</v>
      </c>
      <c r="E45" t="s">
        <v>76</v>
      </c>
      <c r="F45" t="s">
        <v>104</v>
      </c>
      <c r="G45">
        <v>9.8391999999999999</v>
      </c>
      <c r="H45">
        <v>-4.6798000000000002</v>
      </c>
      <c r="I45">
        <v>5.9428571428571664E-3</v>
      </c>
      <c r="J45">
        <v>-2.1944999999999999E-2</v>
      </c>
      <c r="K45">
        <v>6.96265</v>
      </c>
      <c r="L45">
        <v>-3.2677500000000013</v>
      </c>
      <c r="M45">
        <v>1.72E-3</v>
      </c>
      <c r="N45">
        <v>5.8650000000000002</v>
      </c>
      <c r="O45">
        <v>215.99999999999994</v>
      </c>
      <c r="P45">
        <v>24.05294825511432</v>
      </c>
    </row>
    <row r="46" spans="1:16" x14ac:dyDescent="0.35">
      <c r="A46">
        <v>45</v>
      </c>
      <c r="B46" t="s">
        <v>42</v>
      </c>
      <c r="C46" t="s">
        <v>77</v>
      </c>
      <c r="D46" t="s">
        <v>77</v>
      </c>
      <c r="E46" t="s">
        <v>76</v>
      </c>
      <c r="F46" t="s">
        <v>104</v>
      </c>
      <c r="G46">
        <v>7.9146000000000001</v>
      </c>
      <c r="H46">
        <v>-4.3429500000000001</v>
      </c>
      <c r="I46">
        <v>1.7002857142857167E-2</v>
      </c>
      <c r="J46">
        <v>-2.5555000000000001E-2</v>
      </c>
      <c r="K46">
        <v>10.367899999999999</v>
      </c>
      <c r="L46">
        <v>-3.933250000000001</v>
      </c>
      <c r="M46">
        <v>2.8435000000000001E-3</v>
      </c>
      <c r="N46">
        <v>6.3450000000000006</v>
      </c>
      <c r="O46">
        <v>558.5</v>
      </c>
      <c r="P46">
        <v>25.948255114320098</v>
      </c>
    </row>
    <row r="47" spans="1:16" x14ac:dyDescent="0.35">
      <c r="A47">
        <v>46</v>
      </c>
      <c r="B47" t="s">
        <v>44</v>
      </c>
      <c r="C47" t="s">
        <v>77</v>
      </c>
      <c r="D47" t="s">
        <v>77</v>
      </c>
      <c r="E47" t="s">
        <v>76</v>
      </c>
      <c r="F47" t="s">
        <v>104</v>
      </c>
      <c r="G47">
        <v>8.805299999999999</v>
      </c>
      <c r="H47">
        <v>-7.2124499999999996</v>
      </c>
      <c r="I47">
        <v>1.8722857142857166E-2</v>
      </c>
      <c r="J47">
        <v>-2.5660000000000002E-2</v>
      </c>
      <c r="K47">
        <v>11.132</v>
      </c>
      <c r="L47">
        <v>-4.5057500000000008</v>
      </c>
      <c r="M47">
        <v>2.1989999999999999E-2</v>
      </c>
      <c r="N47">
        <v>7.9949999999999992</v>
      </c>
      <c r="O47">
        <v>615.99999999999989</v>
      </c>
      <c r="P47">
        <v>28.445246690734059</v>
      </c>
    </row>
    <row r="48" spans="1:16" x14ac:dyDescent="0.35">
      <c r="A48">
        <v>47</v>
      </c>
      <c r="B48" t="s">
        <v>44</v>
      </c>
      <c r="C48" t="s">
        <v>77</v>
      </c>
      <c r="D48" t="s">
        <v>77</v>
      </c>
      <c r="E48" t="s">
        <v>76</v>
      </c>
      <c r="F48" t="s">
        <v>104</v>
      </c>
      <c r="G48">
        <v>8.9260000000000002</v>
      </c>
      <c r="H48">
        <v>-5.0702999999999996</v>
      </c>
      <c r="I48">
        <v>-1.1571428571428427E-3</v>
      </c>
      <c r="J48">
        <v>-2.3895E-2</v>
      </c>
      <c r="K48">
        <v>11.6905</v>
      </c>
      <c r="L48">
        <v>-6.4532500000000006</v>
      </c>
      <c r="M48">
        <v>1.5150000000000001E-3</v>
      </c>
      <c r="N48">
        <v>6.0600000000000005</v>
      </c>
      <c r="O48">
        <v>188.49999999999989</v>
      </c>
      <c r="P48">
        <v>22.488567990373046</v>
      </c>
    </row>
    <row r="49" spans="1:16" x14ac:dyDescent="0.35">
      <c r="A49">
        <v>48</v>
      </c>
      <c r="B49" t="s">
        <v>44</v>
      </c>
      <c r="C49" t="s">
        <v>77</v>
      </c>
      <c r="D49" t="s">
        <v>77</v>
      </c>
      <c r="E49" t="s">
        <v>76</v>
      </c>
      <c r="F49" t="s">
        <v>104</v>
      </c>
      <c r="G49">
        <v>10.702199999999999</v>
      </c>
      <c r="H49">
        <v>-3.63035</v>
      </c>
      <c r="I49">
        <v>-5.6857142857142828E-2</v>
      </c>
      <c r="J49">
        <v>-2.3349999999999999E-2</v>
      </c>
      <c r="K49">
        <v>10.580500000000001</v>
      </c>
      <c r="L49">
        <v>-4.4722500000000007</v>
      </c>
      <c r="M49">
        <v>7.8935000000000012E-3</v>
      </c>
      <c r="N49">
        <v>6.585</v>
      </c>
      <c r="O49">
        <v>362.24999999999989</v>
      </c>
      <c r="P49">
        <v>29.979542719614926</v>
      </c>
    </row>
    <row r="50" spans="1:16" x14ac:dyDescent="0.35">
      <c r="A50">
        <v>49</v>
      </c>
      <c r="B50" t="s">
        <v>46</v>
      </c>
      <c r="C50" t="s">
        <v>77</v>
      </c>
      <c r="D50" t="s">
        <v>77</v>
      </c>
      <c r="E50" t="s">
        <v>76</v>
      </c>
      <c r="F50" t="s">
        <v>104</v>
      </c>
      <c r="G50">
        <v>7.2797000000000001</v>
      </c>
      <c r="H50">
        <v>-14.9255</v>
      </c>
      <c r="I50">
        <v>-2.6557142857142835E-2</v>
      </c>
      <c r="J50">
        <v>-2.5599999999999998E-2</v>
      </c>
      <c r="K50">
        <v>18.107999999999997</v>
      </c>
      <c r="L50">
        <v>-4.3432500000000012</v>
      </c>
      <c r="M50">
        <v>6.7670000000000004E-3</v>
      </c>
      <c r="N50">
        <v>7.1849999999999996</v>
      </c>
      <c r="O50">
        <v>415.99999999999994</v>
      </c>
      <c r="P50">
        <v>22.819494584837546</v>
      </c>
    </row>
    <row r="51" spans="1:16" x14ac:dyDescent="0.35">
      <c r="A51">
        <v>50</v>
      </c>
      <c r="B51" t="s">
        <v>46</v>
      </c>
      <c r="C51" t="s">
        <v>77</v>
      </c>
      <c r="D51" t="s">
        <v>77</v>
      </c>
      <c r="E51" t="s">
        <v>76</v>
      </c>
      <c r="F51" t="s">
        <v>104</v>
      </c>
      <c r="G51">
        <v>8.3754500000000007</v>
      </c>
      <c r="H51">
        <v>-14.8825</v>
      </c>
      <c r="I51">
        <v>-4.4571428571428401E-3</v>
      </c>
      <c r="J51">
        <v>-2.3599999999999999E-2</v>
      </c>
      <c r="K51">
        <v>9.2196500000000015</v>
      </c>
      <c r="L51">
        <v>-6.9047499999999999</v>
      </c>
      <c r="M51">
        <v>1.0151E-2</v>
      </c>
      <c r="N51">
        <v>4.9050000000000002</v>
      </c>
      <c r="O51">
        <v>385.99999999999994</v>
      </c>
      <c r="P51">
        <v>18.006016847172084</v>
      </c>
    </row>
    <row r="52" spans="1:16" x14ac:dyDescent="0.35">
      <c r="A52">
        <v>51</v>
      </c>
      <c r="B52" t="s">
        <v>46</v>
      </c>
      <c r="C52" t="s">
        <v>77</v>
      </c>
      <c r="D52" t="s">
        <v>77</v>
      </c>
      <c r="E52" t="s">
        <v>76</v>
      </c>
      <c r="F52" t="s">
        <v>104</v>
      </c>
      <c r="G52">
        <v>7.5063499999999994</v>
      </c>
      <c r="H52">
        <v>-12.4575</v>
      </c>
      <c r="I52">
        <v>7.1428571428571591E-3</v>
      </c>
      <c r="J52">
        <v>-2.3155000000000002E-2</v>
      </c>
      <c r="K52">
        <v>9.8374500000000005</v>
      </c>
      <c r="L52">
        <v>-4.8807500000000026</v>
      </c>
      <c r="M52">
        <v>1.5383500000000001E-2</v>
      </c>
      <c r="N52">
        <v>5.58</v>
      </c>
      <c r="O52">
        <v>273.5</v>
      </c>
      <c r="P52">
        <v>18.397111913357399</v>
      </c>
    </row>
    <row r="53" spans="1:16" x14ac:dyDescent="0.35">
      <c r="A53">
        <v>1</v>
      </c>
      <c r="B53" t="s">
        <v>42</v>
      </c>
      <c r="C53" t="s">
        <v>77</v>
      </c>
      <c r="D53" t="s">
        <v>77</v>
      </c>
      <c r="E53" t="s">
        <v>77</v>
      </c>
      <c r="F53" t="s">
        <v>105</v>
      </c>
      <c r="G53">
        <v>7.42875</v>
      </c>
      <c r="H53">
        <v>-11.738</v>
      </c>
      <c r="I53">
        <v>1.1142857142857163E-2</v>
      </c>
      <c r="J53">
        <v>-2.1445000000000002E-2</v>
      </c>
      <c r="K53">
        <v>5.1715999999999998</v>
      </c>
      <c r="L53">
        <v>-6.9092500000000001</v>
      </c>
      <c r="M53">
        <v>4.1950000000000008E-3</v>
      </c>
      <c r="N53">
        <v>6.0449999999999999</v>
      </c>
      <c r="O53">
        <v>646.39999999999986</v>
      </c>
      <c r="P53">
        <v>26.399518652226234</v>
      </c>
    </row>
    <row r="54" spans="1:16" x14ac:dyDescent="0.35">
      <c r="A54">
        <v>2</v>
      </c>
      <c r="B54" t="s">
        <v>42</v>
      </c>
      <c r="C54" t="s">
        <v>77</v>
      </c>
      <c r="D54" t="s">
        <v>77</v>
      </c>
      <c r="E54" t="s">
        <v>77</v>
      </c>
      <c r="F54" t="s">
        <v>105</v>
      </c>
      <c r="G54">
        <v>7.4959500000000006</v>
      </c>
      <c r="H54">
        <v>-13.102</v>
      </c>
      <c r="I54">
        <v>-0.10645714285714283</v>
      </c>
      <c r="J54">
        <v>-1.8419999999999999E-2</v>
      </c>
      <c r="K54">
        <v>7.1029499999999999</v>
      </c>
      <c r="L54">
        <v>-11.585750000000001</v>
      </c>
      <c r="M54">
        <v>4.8979999999999996E-2</v>
      </c>
      <c r="N54">
        <v>10.425000000000001</v>
      </c>
      <c r="O54">
        <v>608.39999999999986</v>
      </c>
      <c r="P54">
        <v>66.953068592057761</v>
      </c>
    </row>
    <row r="55" spans="1:16" x14ac:dyDescent="0.35">
      <c r="A55">
        <v>3</v>
      </c>
      <c r="B55" t="s">
        <v>42</v>
      </c>
      <c r="C55" t="s">
        <v>77</v>
      </c>
      <c r="D55" t="s">
        <v>77</v>
      </c>
      <c r="E55" t="s">
        <v>77</v>
      </c>
      <c r="F55" t="s">
        <v>105</v>
      </c>
      <c r="G55">
        <v>8.9126499999999993</v>
      </c>
      <c r="H55">
        <v>-15.212</v>
      </c>
      <c r="I55">
        <v>3.3142857142857161E-2</v>
      </c>
      <c r="J55">
        <v>-2.4324999999999999E-2</v>
      </c>
      <c r="K55">
        <v>8.638300000000001</v>
      </c>
      <c r="L55">
        <v>-8.5637499999999989</v>
      </c>
      <c r="M55">
        <v>4.1590000000000002E-2</v>
      </c>
      <c r="N55">
        <v>10.319999999999999</v>
      </c>
      <c r="O55">
        <v>634.39999999999986</v>
      </c>
      <c r="P55">
        <v>41.29121540312876</v>
      </c>
    </row>
    <row r="56" spans="1:16" x14ac:dyDescent="0.35">
      <c r="A56">
        <v>4</v>
      </c>
      <c r="B56" t="s">
        <v>42</v>
      </c>
      <c r="C56" t="s">
        <v>77</v>
      </c>
      <c r="D56" t="s">
        <v>77</v>
      </c>
      <c r="E56" t="s">
        <v>77</v>
      </c>
      <c r="F56" t="s">
        <v>105</v>
      </c>
      <c r="G56">
        <v>6.2662999999999993</v>
      </c>
      <c r="H56">
        <v>-16.610999999999997</v>
      </c>
      <c r="I56">
        <v>-0.14125714285714283</v>
      </c>
      <c r="J56">
        <v>-2.7890000000000002E-2</v>
      </c>
      <c r="K56">
        <v>9.3584999999999994</v>
      </c>
      <c r="L56">
        <v>-11.534750000000003</v>
      </c>
      <c r="M56">
        <v>8.1020000000000009E-2</v>
      </c>
      <c r="N56">
        <v>8.7000000000000011</v>
      </c>
      <c r="O56">
        <v>617.39999999999986</v>
      </c>
      <c r="P56">
        <v>39.305655836341757</v>
      </c>
    </row>
    <row r="57" spans="1:16" x14ac:dyDescent="0.35">
      <c r="A57">
        <v>5</v>
      </c>
      <c r="B57" t="s">
        <v>42</v>
      </c>
      <c r="C57" t="s">
        <v>77</v>
      </c>
      <c r="D57" t="s">
        <v>77</v>
      </c>
      <c r="E57" t="s">
        <v>77</v>
      </c>
      <c r="F57" t="s">
        <v>105</v>
      </c>
      <c r="G57">
        <v>6.4006500000000006</v>
      </c>
      <c r="H57">
        <v>-16.356499999999997</v>
      </c>
      <c r="I57">
        <v>2.5142857142857161E-2</v>
      </c>
      <c r="J57">
        <v>-1.542E-2</v>
      </c>
      <c r="K57">
        <v>9.7741499999999988</v>
      </c>
      <c r="L57">
        <v>-9.0647500000000001</v>
      </c>
      <c r="M57">
        <v>1.5865000000000001E-2</v>
      </c>
      <c r="N57">
        <v>8.9699999999999989</v>
      </c>
      <c r="O57">
        <v>582.40000000000009</v>
      </c>
      <c r="P57">
        <v>55.069795427196148</v>
      </c>
    </row>
    <row r="58" spans="1:16" x14ac:dyDescent="0.35">
      <c r="A58">
        <v>6</v>
      </c>
      <c r="B58" t="s">
        <v>44</v>
      </c>
      <c r="C58" t="s">
        <v>77</v>
      </c>
      <c r="D58" t="s">
        <v>77</v>
      </c>
      <c r="E58" t="s">
        <v>77</v>
      </c>
      <c r="F58" t="s">
        <v>105</v>
      </c>
      <c r="G58">
        <v>6.4361499999999996</v>
      </c>
      <c r="H58">
        <v>-16.442</v>
      </c>
      <c r="I58">
        <v>1.5892857142857167E-2</v>
      </c>
      <c r="J58">
        <v>-4.1309999999999999E-2</v>
      </c>
      <c r="K58">
        <v>9.6752000000000002</v>
      </c>
      <c r="L58">
        <v>-13.007750000000001</v>
      </c>
      <c r="M58">
        <v>6.9790000000000005E-2</v>
      </c>
      <c r="N58">
        <v>9.4350000000000005</v>
      </c>
      <c r="O58">
        <v>546.4</v>
      </c>
      <c r="P58">
        <v>36.598074608904938</v>
      </c>
    </row>
    <row r="59" spans="1:16" x14ac:dyDescent="0.35">
      <c r="A59">
        <v>7</v>
      </c>
      <c r="B59" t="s">
        <v>44</v>
      </c>
      <c r="C59" t="s">
        <v>77</v>
      </c>
      <c r="D59" t="s">
        <v>77</v>
      </c>
      <c r="E59" t="s">
        <v>77</v>
      </c>
      <c r="F59" t="s">
        <v>105</v>
      </c>
      <c r="G59">
        <v>6.8901000000000003</v>
      </c>
      <c r="H59">
        <v>-14.8765</v>
      </c>
      <c r="I59">
        <v>2.8172857142857159E-2</v>
      </c>
      <c r="J59">
        <v>-2.5454999999999998E-2</v>
      </c>
      <c r="K59">
        <v>9.0300499999999992</v>
      </c>
      <c r="L59">
        <v>-13.988250000000001</v>
      </c>
      <c r="M59">
        <v>5.2875000000000005E-2</v>
      </c>
      <c r="N59">
        <v>8.4449999999999985</v>
      </c>
      <c r="O59">
        <v>655.39999999999986</v>
      </c>
      <c r="P59">
        <v>53.264741275571595</v>
      </c>
    </row>
    <row r="60" spans="1:16" x14ac:dyDescent="0.35">
      <c r="A60">
        <v>8</v>
      </c>
      <c r="B60" t="s">
        <v>44</v>
      </c>
      <c r="C60" t="s">
        <v>77</v>
      </c>
      <c r="D60" t="s">
        <v>77</v>
      </c>
      <c r="E60" t="s">
        <v>77</v>
      </c>
      <c r="F60" t="s">
        <v>105</v>
      </c>
      <c r="G60">
        <v>8.5624000000000002</v>
      </c>
      <c r="H60">
        <v>-11.349500000000001</v>
      </c>
      <c r="I60">
        <v>3.9428571428571646E-3</v>
      </c>
      <c r="J60">
        <v>-4.1800000000000004E-2</v>
      </c>
      <c r="K60">
        <v>4.5006000000000004</v>
      </c>
      <c r="L60">
        <v>-10.033750000000001</v>
      </c>
      <c r="M60">
        <v>4.9049999999999996E-2</v>
      </c>
      <c r="N60">
        <v>9.7800000000000011</v>
      </c>
      <c r="O60">
        <v>608.39999999999986</v>
      </c>
      <c r="P60">
        <v>39.275571600481342</v>
      </c>
    </row>
    <row r="61" spans="1:16" x14ac:dyDescent="0.35">
      <c r="A61">
        <v>9</v>
      </c>
      <c r="B61" t="s">
        <v>44</v>
      </c>
      <c r="C61" t="s">
        <v>77</v>
      </c>
      <c r="D61" t="s">
        <v>77</v>
      </c>
      <c r="E61" t="s">
        <v>77</v>
      </c>
      <c r="F61" t="s">
        <v>105</v>
      </c>
      <c r="G61">
        <v>7.5874000000000006</v>
      </c>
      <c r="H61">
        <v>-26.097999999999999</v>
      </c>
      <c r="I61">
        <v>-2.5157142857142836E-2</v>
      </c>
      <c r="J61">
        <v>-1.924E-2</v>
      </c>
      <c r="K61">
        <v>14.196999999999999</v>
      </c>
      <c r="L61">
        <v>-8.8772500000000036</v>
      </c>
      <c r="M61">
        <v>1.8950000000000002E-2</v>
      </c>
      <c r="N61">
        <v>10.29</v>
      </c>
      <c r="O61">
        <v>647.39999999999986</v>
      </c>
      <c r="P61">
        <v>58.048134777376646</v>
      </c>
    </row>
    <row r="62" spans="1:16" x14ac:dyDescent="0.35">
      <c r="A62">
        <v>10</v>
      </c>
      <c r="B62" t="s">
        <v>44</v>
      </c>
      <c r="C62" t="s">
        <v>77</v>
      </c>
      <c r="D62" t="s">
        <v>77</v>
      </c>
      <c r="E62" t="s">
        <v>77</v>
      </c>
      <c r="F62" t="s">
        <v>105</v>
      </c>
      <c r="G62">
        <v>9.4665999999999997</v>
      </c>
      <c r="H62">
        <v>-18.328499999999998</v>
      </c>
      <c r="I62">
        <v>-3.3757142857142833E-2</v>
      </c>
      <c r="J62">
        <v>-1.422E-2</v>
      </c>
      <c r="K62">
        <v>14.2315</v>
      </c>
      <c r="L62">
        <v>-10.385249999999999</v>
      </c>
      <c r="M62">
        <v>1.669E-2</v>
      </c>
      <c r="N62">
        <v>9.06</v>
      </c>
      <c r="O62">
        <v>598.39999999999986</v>
      </c>
      <c r="P62">
        <v>46.646209386281583</v>
      </c>
    </row>
    <row r="63" spans="1:16" x14ac:dyDescent="0.35">
      <c r="A63">
        <v>11</v>
      </c>
      <c r="B63" t="s">
        <v>46</v>
      </c>
      <c r="C63" t="s">
        <v>77</v>
      </c>
      <c r="D63" t="s">
        <v>77</v>
      </c>
      <c r="E63" t="s">
        <v>77</v>
      </c>
      <c r="F63" t="s">
        <v>105</v>
      </c>
      <c r="G63">
        <v>6.8317999999999994</v>
      </c>
      <c r="H63">
        <v>-18.183999999999997</v>
      </c>
      <c r="I63">
        <v>-1.1357142857142843E-2</v>
      </c>
      <c r="J63">
        <v>-2.5835000000000004E-2</v>
      </c>
      <c r="K63">
        <v>21.353000000000002</v>
      </c>
      <c r="L63">
        <v>-12.523250000000001</v>
      </c>
      <c r="M63">
        <v>1.5900000000000001E-2</v>
      </c>
      <c r="N63">
        <v>8.7600000000000016</v>
      </c>
      <c r="O63">
        <v>593.39999999999986</v>
      </c>
      <c r="P63">
        <v>33.499398315282789</v>
      </c>
    </row>
    <row r="64" spans="1:16" x14ac:dyDescent="0.35">
      <c r="A64">
        <v>12</v>
      </c>
      <c r="B64" t="s">
        <v>46</v>
      </c>
      <c r="C64" t="s">
        <v>77</v>
      </c>
      <c r="D64" t="s">
        <v>77</v>
      </c>
      <c r="E64" t="s">
        <v>77</v>
      </c>
      <c r="F64" t="s">
        <v>105</v>
      </c>
      <c r="G64">
        <v>6.82395</v>
      </c>
      <c r="H64">
        <v>-18.045999999999999</v>
      </c>
      <c r="I64">
        <v>1.5762857142857162E-2</v>
      </c>
      <c r="J64">
        <v>-2.6529999999999998E-2</v>
      </c>
      <c r="K64">
        <v>8.8832500000000003</v>
      </c>
      <c r="L64">
        <v>-14.890750000000004</v>
      </c>
      <c r="M64">
        <v>2.0379999999999999E-2</v>
      </c>
      <c r="N64">
        <v>11.295</v>
      </c>
      <c r="O64">
        <v>643.39999999999986</v>
      </c>
      <c r="P64">
        <v>33.07821901323706</v>
      </c>
    </row>
    <row r="65" spans="1:16" x14ac:dyDescent="0.35">
      <c r="A65">
        <v>13</v>
      </c>
      <c r="B65" t="s">
        <v>46</v>
      </c>
      <c r="C65" t="s">
        <v>77</v>
      </c>
      <c r="D65" t="s">
        <v>77</v>
      </c>
      <c r="E65" t="s">
        <v>77</v>
      </c>
      <c r="F65" t="s">
        <v>105</v>
      </c>
      <c r="G65">
        <v>7.2577999999999996</v>
      </c>
      <c r="H65">
        <v>-17.376000000000001</v>
      </c>
      <c r="I65">
        <v>-1.7557142857142841E-2</v>
      </c>
      <c r="J65">
        <v>-3.2164999999999999E-2</v>
      </c>
      <c r="K65">
        <v>18.097000000000001</v>
      </c>
      <c r="L65">
        <v>-14.091250000000002</v>
      </c>
      <c r="M65">
        <v>6.6270000000000001E-3</v>
      </c>
      <c r="N65">
        <v>10.545000000000002</v>
      </c>
      <c r="O65">
        <v>560.39999999999986</v>
      </c>
      <c r="P65">
        <v>31.363417569193743</v>
      </c>
    </row>
    <row r="66" spans="1:16" x14ac:dyDescent="0.35">
      <c r="A66">
        <v>14</v>
      </c>
      <c r="B66" t="s">
        <v>46</v>
      </c>
      <c r="C66" t="s">
        <v>77</v>
      </c>
      <c r="D66" t="s">
        <v>77</v>
      </c>
      <c r="E66" t="s">
        <v>77</v>
      </c>
      <c r="F66" t="s">
        <v>105</v>
      </c>
      <c r="G66">
        <v>7.4283999999999999</v>
      </c>
      <c r="H66">
        <v>-18.321999999999999</v>
      </c>
      <c r="I66">
        <v>-3.3157142857142843E-2</v>
      </c>
      <c r="J66">
        <v>-5.0619999999999998E-2</v>
      </c>
      <c r="K66">
        <v>6.9963999999999995</v>
      </c>
      <c r="L66">
        <v>-11.997750000000003</v>
      </c>
      <c r="M66">
        <v>9.2929999999999992E-3</v>
      </c>
      <c r="N66">
        <v>9.7050000000000001</v>
      </c>
      <c r="O66">
        <v>724.39999999999986</v>
      </c>
      <c r="P66">
        <v>35.936221419975929</v>
      </c>
    </row>
    <row r="67" spans="1:16" x14ac:dyDescent="0.35">
      <c r="A67">
        <v>15</v>
      </c>
      <c r="B67" t="s">
        <v>46</v>
      </c>
      <c r="C67" t="s">
        <v>77</v>
      </c>
      <c r="D67" t="s">
        <v>77</v>
      </c>
      <c r="E67" t="s">
        <v>77</v>
      </c>
      <c r="F67" t="s">
        <v>105</v>
      </c>
      <c r="G67">
        <v>8.5852500000000003</v>
      </c>
      <c r="H67">
        <v>-18.927999999999997</v>
      </c>
      <c r="I67">
        <v>-4.8257142857142832E-2</v>
      </c>
      <c r="J67">
        <v>-2.3495000000000002E-2</v>
      </c>
      <c r="K67">
        <v>12.328600000000002</v>
      </c>
      <c r="L67">
        <v>-16.437249999999999</v>
      </c>
      <c r="M67">
        <v>1.0319999999999999E-2</v>
      </c>
      <c r="N67">
        <v>10.020000000000001</v>
      </c>
      <c r="O67">
        <v>448.4</v>
      </c>
      <c r="P67">
        <v>41.561973525872446</v>
      </c>
    </row>
    <row r="68" spans="1:16" x14ac:dyDescent="0.35">
      <c r="A68">
        <v>16</v>
      </c>
      <c r="B68" t="s">
        <v>42</v>
      </c>
      <c r="C68" t="s">
        <v>76</v>
      </c>
      <c r="D68" t="s">
        <v>77</v>
      </c>
      <c r="E68" t="s">
        <v>76</v>
      </c>
      <c r="F68" t="s">
        <v>105</v>
      </c>
      <c r="G68">
        <v>6.2420499999999999</v>
      </c>
      <c r="H68">
        <v>-17.875500000000002</v>
      </c>
      <c r="I68">
        <v>-2.1757142857142836E-2</v>
      </c>
      <c r="J68">
        <v>-3.0809999999999997E-2</v>
      </c>
      <c r="K68">
        <v>6.9867500000000007</v>
      </c>
      <c r="L68">
        <v>-12.68375</v>
      </c>
      <c r="M68">
        <v>2.0639999999999999E-2</v>
      </c>
      <c r="N68">
        <v>12.6</v>
      </c>
      <c r="O68">
        <v>543.39999999999986</v>
      </c>
      <c r="P68">
        <v>47.518652226233456</v>
      </c>
    </row>
    <row r="69" spans="1:16" x14ac:dyDescent="0.35">
      <c r="A69">
        <v>17</v>
      </c>
      <c r="B69" t="s">
        <v>42</v>
      </c>
      <c r="C69" t="s">
        <v>76</v>
      </c>
      <c r="D69" t="s">
        <v>77</v>
      </c>
      <c r="E69" t="s">
        <v>76</v>
      </c>
      <c r="F69" t="s">
        <v>105</v>
      </c>
      <c r="G69">
        <v>5.3812499999999996</v>
      </c>
      <c r="H69">
        <v>-18.926500000000001</v>
      </c>
      <c r="I69">
        <v>-4.5557142857142824E-2</v>
      </c>
      <c r="J69">
        <v>-3.0759999999999999E-2</v>
      </c>
      <c r="K69">
        <v>25.291</v>
      </c>
      <c r="L69">
        <v>-21.435250000000003</v>
      </c>
      <c r="M69">
        <v>1.2710000000000001E-2</v>
      </c>
      <c r="N69">
        <v>10.485000000000001</v>
      </c>
      <c r="O69">
        <v>645.39999999999986</v>
      </c>
      <c r="P69">
        <v>32.687123947051738</v>
      </c>
    </row>
    <row r="70" spans="1:16" x14ac:dyDescent="0.35">
      <c r="A70">
        <v>18</v>
      </c>
      <c r="B70" t="s">
        <v>42</v>
      </c>
      <c r="C70" t="s">
        <v>76</v>
      </c>
      <c r="D70" t="s">
        <v>77</v>
      </c>
      <c r="E70" t="s">
        <v>76</v>
      </c>
      <c r="F70" t="s">
        <v>105</v>
      </c>
      <c r="G70">
        <v>6.3974500000000001</v>
      </c>
      <c r="H70">
        <v>-18.576000000000001</v>
      </c>
      <c r="I70">
        <v>2.972857142857166E-3</v>
      </c>
      <c r="J70">
        <v>-2.0615000000000001E-2</v>
      </c>
      <c r="K70">
        <v>13.100999999999999</v>
      </c>
      <c r="L70">
        <v>-11.83925</v>
      </c>
      <c r="M70">
        <v>1.12E-2</v>
      </c>
      <c r="N70">
        <v>10.59</v>
      </c>
      <c r="O70">
        <v>613.39999999999986</v>
      </c>
      <c r="P70">
        <v>63.25270758122744</v>
      </c>
    </row>
    <row r="71" spans="1:16" x14ac:dyDescent="0.35">
      <c r="A71">
        <v>19</v>
      </c>
      <c r="B71" t="s">
        <v>44</v>
      </c>
      <c r="C71" t="s">
        <v>76</v>
      </c>
      <c r="D71" t="s">
        <v>77</v>
      </c>
      <c r="E71" t="s">
        <v>76</v>
      </c>
      <c r="F71" t="s">
        <v>105</v>
      </c>
      <c r="G71">
        <v>6.9737999999999998</v>
      </c>
      <c r="H71">
        <v>-18.262499999999999</v>
      </c>
      <c r="I71">
        <v>-1.7757142857142832E-2</v>
      </c>
      <c r="J71">
        <v>-2.6845000000000001E-2</v>
      </c>
      <c r="K71">
        <v>34.881999999999998</v>
      </c>
      <c r="L71">
        <v>-15.146250000000002</v>
      </c>
      <c r="M71">
        <v>4.5975E-3</v>
      </c>
      <c r="N71">
        <v>10.74</v>
      </c>
      <c r="O71">
        <v>449.39999999999986</v>
      </c>
      <c r="P71">
        <v>52.42238267148015</v>
      </c>
    </row>
    <row r="72" spans="1:16" x14ac:dyDescent="0.35">
      <c r="A72">
        <v>20</v>
      </c>
      <c r="B72" t="s">
        <v>44</v>
      </c>
      <c r="C72" t="s">
        <v>76</v>
      </c>
      <c r="D72" t="s">
        <v>77</v>
      </c>
      <c r="E72" t="s">
        <v>76</v>
      </c>
      <c r="F72" t="s">
        <v>105</v>
      </c>
      <c r="G72">
        <v>10.042349999999999</v>
      </c>
      <c r="H72">
        <v>-17.660499999999999</v>
      </c>
      <c r="I72">
        <v>-3.2657142857142843E-2</v>
      </c>
      <c r="J72">
        <v>-3.0475000000000002E-2</v>
      </c>
      <c r="K72">
        <v>24.435000000000002</v>
      </c>
      <c r="L72">
        <v>-12.46425</v>
      </c>
      <c r="M72">
        <v>2.5350000000000004E-3</v>
      </c>
      <c r="N72">
        <v>8.6999999999999993</v>
      </c>
      <c r="O72">
        <v>440.39999999999986</v>
      </c>
      <c r="P72">
        <v>30.611311672683513</v>
      </c>
    </row>
    <row r="73" spans="1:16" x14ac:dyDescent="0.35">
      <c r="A73">
        <v>21</v>
      </c>
      <c r="B73" t="s">
        <v>44</v>
      </c>
      <c r="C73" t="s">
        <v>76</v>
      </c>
      <c r="D73" t="s">
        <v>77</v>
      </c>
      <c r="E73" t="s">
        <v>76</v>
      </c>
      <c r="F73" t="s">
        <v>105</v>
      </c>
      <c r="G73">
        <v>6.4665999999999997</v>
      </c>
      <c r="H73">
        <v>-18.545000000000002</v>
      </c>
      <c r="I73">
        <v>-2.1557142857142844E-2</v>
      </c>
      <c r="J73">
        <v>-2.1054999999999997E-2</v>
      </c>
      <c r="K73">
        <v>27.9025</v>
      </c>
      <c r="L73">
        <v>-12.91675</v>
      </c>
      <c r="M73">
        <v>3.9690000000000003E-3</v>
      </c>
      <c r="N73">
        <v>8.2349999999999994</v>
      </c>
      <c r="O73">
        <v>588.39999999999986</v>
      </c>
      <c r="P73">
        <v>41.832731648616125</v>
      </c>
    </row>
    <row r="74" spans="1:16" x14ac:dyDescent="0.35">
      <c r="A74">
        <v>22</v>
      </c>
      <c r="B74" t="s">
        <v>46</v>
      </c>
      <c r="C74" t="s">
        <v>76</v>
      </c>
      <c r="D74" t="s">
        <v>77</v>
      </c>
      <c r="E74" t="s">
        <v>76</v>
      </c>
      <c r="F74" t="s">
        <v>105</v>
      </c>
      <c r="G74">
        <v>6.8452999999999999</v>
      </c>
      <c r="H74">
        <v>-24.622</v>
      </c>
      <c r="I74">
        <v>-3.5557142857142843E-2</v>
      </c>
      <c r="J74">
        <v>-2.3165000000000002E-2</v>
      </c>
      <c r="K74">
        <v>25.0185</v>
      </c>
      <c r="L74">
        <v>-24.741750000000003</v>
      </c>
      <c r="M74">
        <v>1.068E-2</v>
      </c>
      <c r="N74">
        <v>10.86</v>
      </c>
      <c r="O74">
        <v>677.4</v>
      </c>
      <c r="P74">
        <v>40.388688327316487</v>
      </c>
    </row>
    <row r="75" spans="1:16" x14ac:dyDescent="0.35">
      <c r="A75">
        <v>23</v>
      </c>
      <c r="B75" t="s">
        <v>46</v>
      </c>
      <c r="C75" t="s">
        <v>76</v>
      </c>
      <c r="D75" t="s">
        <v>77</v>
      </c>
      <c r="E75" t="s">
        <v>76</v>
      </c>
      <c r="F75" t="s">
        <v>105</v>
      </c>
      <c r="G75">
        <v>6.492</v>
      </c>
      <c r="H75">
        <v>-17.456499999999998</v>
      </c>
      <c r="I75">
        <v>-2.2257142857142836E-2</v>
      </c>
      <c r="J75">
        <v>-2.5499999999999998E-2</v>
      </c>
      <c r="K75">
        <v>19.07</v>
      </c>
      <c r="L75">
        <v>-13.649250000000002</v>
      </c>
      <c r="M75">
        <v>6.6980000000000008E-3</v>
      </c>
      <c r="N75">
        <v>12.690000000000001</v>
      </c>
      <c r="O75">
        <v>564.4</v>
      </c>
      <c r="P75">
        <v>56.303249097472921</v>
      </c>
    </row>
    <row r="76" spans="1:16" x14ac:dyDescent="0.35">
      <c r="A76">
        <v>24</v>
      </c>
      <c r="B76" t="s">
        <v>46</v>
      </c>
      <c r="C76" t="s">
        <v>76</v>
      </c>
      <c r="D76" t="s">
        <v>77</v>
      </c>
      <c r="E76" t="s">
        <v>76</v>
      </c>
      <c r="F76" t="s">
        <v>105</v>
      </c>
      <c r="G76">
        <v>7.7193500000000004</v>
      </c>
      <c r="H76">
        <v>-16.161999999999999</v>
      </c>
      <c r="I76">
        <v>-9.0957142857142848E-2</v>
      </c>
      <c r="J76">
        <v>-2.2234999999999998E-2</v>
      </c>
      <c r="K76">
        <v>17.356000000000002</v>
      </c>
      <c r="L76">
        <v>-16.368250000000003</v>
      </c>
      <c r="M76">
        <v>2.5260000000000001E-2</v>
      </c>
      <c r="N76">
        <v>9.9599999999999991</v>
      </c>
      <c r="O76">
        <v>515.4</v>
      </c>
      <c r="P76">
        <v>51.670276774969913</v>
      </c>
    </row>
    <row r="77" spans="1:16" x14ac:dyDescent="0.35">
      <c r="A77">
        <v>25</v>
      </c>
      <c r="B77" t="s">
        <v>42</v>
      </c>
      <c r="C77" t="s">
        <v>77</v>
      </c>
      <c r="D77" t="s">
        <v>77</v>
      </c>
      <c r="E77" t="s">
        <v>76</v>
      </c>
      <c r="F77" t="s">
        <v>105</v>
      </c>
      <c r="G77">
        <v>5.5536500000000002</v>
      </c>
      <c r="H77">
        <v>-14.509</v>
      </c>
      <c r="I77">
        <v>3.5142857142857163E-2</v>
      </c>
      <c r="J77">
        <v>-1.06E-2</v>
      </c>
      <c r="K77">
        <v>23.463999999999999</v>
      </c>
      <c r="L77">
        <v>-13.360749999999999</v>
      </c>
      <c r="M77">
        <v>2.664E-2</v>
      </c>
      <c r="N77">
        <v>12</v>
      </c>
      <c r="O77">
        <v>545.39999999999986</v>
      </c>
      <c r="P77">
        <v>37.651022864019254</v>
      </c>
    </row>
    <row r="78" spans="1:16" x14ac:dyDescent="0.35">
      <c r="A78">
        <v>26</v>
      </c>
      <c r="B78" t="s">
        <v>42</v>
      </c>
      <c r="C78" t="s">
        <v>77</v>
      </c>
      <c r="D78" t="s">
        <v>77</v>
      </c>
      <c r="E78" t="s">
        <v>76</v>
      </c>
      <c r="F78" t="s">
        <v>105</v>
      </c>
      <c r="G78">
        <v>6.7003500000000003</v>
      </c>
      <c r="H78">
        <v>-14.145</v>
      </c>
      <c r="I78">
        <v>3.0052857142857166E-2</v>
      </c>
      <c r="J78">
        <v>-1.7455000000000001E-3</v>
      </c>
      <c r="K78">
        <v>16.095500000000001</v>
      </c>
      <c r="L78">
        <v>-7.8427500000000023</v>
      </c>
      <c r="M78">
        <v>2.027E-2</v>
      </c>
      <c r="N78">
        <v>10.079999999999998</v>
      </c>
      <c r="O78">
        <v>657.39999999999986</v>
      </c>
      <c r="P78">
        <v>72.157641395908541</v>
      </c>
    </row>
    <row r="79" spans="1:16" x14ac:dyDescent="0.35">
      <c r="A79">
        <v>27</v>
      </c>
      <c r="B79" t="s">
        <v>42</v>
      </c>
      <c r="C79" t="s">
        <v>77</v>
      </c>
      <c r="D79" t="s">
        <v>77</v>
      </c>
      <c r="E79" t="s">
        <v>76</v>
      </c>
      <c r="F79" t="s">
        <v>105</v>
      </c>
      <c r="G79">
        <v>6.1694499999999994</v>
      </c>
      <c r="H79">
        <v>-10.3505</v>
      </c>
      <c r="I79">
        <v>1.623285714285716E-2</v>
      </c>
      <c r="J79">
        <v>-2.545E-2</v>
      </c>
      <c r="K79">
        <v>11.478999999999999</v>
      </c>
      <c r="L79">
        <v>-7.0097500000000004</v>
      </c>
      <c r="M79">
        <v>9.0115000000000004E-3</v>
      </c>
      <c r="N79">
        <v>11.565</v>
      </c>
      <c r="O79">
        <v>725.39999999999986</v>
      </c>
      <c r="P79">
        <v>53.896510228640196</v>
      </c>
    </row>
    <row r="80" spans="1:16" x14ac:dyDescent="0.35">
      <c r="A80">
        <v>28</v>
      </c>
      <c r="B80" t="s">
        <v>44</v>
      </c>
      <c r="C80" t="s">
        <v>77</v>
      </c>
      <c r="D80" t="s">
        <v>77</v>
      </c>
      <c r="E80" t="s">
        <v>76</v>
      </c>
      <c r="F80" t="s">
        <v>105</v>
      </c>
      <c r="G80">
        <v>4.2350000000000003</v>
      </c>
      <c r="H80">
        <v>-14.9415</v>
      </c>
      <c r="I80">
        <v>4.714285714285716E-2</v>
      </c>
      <c r="J80">
        <v>-2.3475000000000003E-2</v>
      </c>
      <c r="K80">
        <v>23.060499999999998</v>
      </c>
      <c r="L80">
        <v>-8.7907500000000027</v>
      </c>
      <c r="M80">
        <v>1.137E-2</v>
      </c>
      <c r="N80">
        <v>11.58</v>
      </c>
      <c r="O80">
        <v>731.4</v>
      </c>
      <c r="P80">
        <v>50.406738868832733</v>
      </c>
    </row>
    <row r="81" spans="1:16" x14ac:dyDescent="0.35">
      <c r="A81">
        <v>29</v>
      </c>
      <c r="B81" t="s">
        <v>44</v>
      </c>
      <c r="C81" t="s">
        <v>77</v>
      </c>
      <c r="D81" t="s">
        <v>77</v>
      </c>
      <c r="E81" t="s">
        <v>76</v>
      </c>
      <c r="F81" t="s">
        <v>105</v>
      </c>
      <c r="G81">
        <v>6.4286000000000003</v>
      </c>
      <c r="H81">
        <v>-14.92</v>
      </c>
      <c r="I81">
        <v>-2.4457142857142844E-2</v>
      </c>
      <c r="J81">
        <v>-1.7495E-2</v>
      </c>
      <c r="K81">
        <v>26.62</v>
      </c>
      <c r="L81">
        <v>-9.4352499999999999</v>
      </c>
      <c r="M81">
        <v>6.0049999999999999E-3</v>
      </c>
      <c r="N81">
        <v>10.875</v>
      </c>
      <c r="O81">
        <v>571.39999999999986</v>
      </c>
      <c r="P81">
        <v>60.906137184115529</v>
      </c>
    </row>
    <row r="82" spans="1:16" x14ac:dyDescent="0.35">
      <c r="A82">
        <v>30</v>
      </c>
      <c r="B82" t="s">
        <v>44</v>
      </c>
      <c r="C82" t="s">
        <v>77</v>
      </c>
      <c r="D82" t="s">
        <v>77</v>
      </c>
      <c r="E82" t="s">
        <v>76</v>
      </c>
      <c r="F82" t="s">
        <v>105</v>
      </c>
      <c r="G82">
        <v>6.9795999999999996</v>
      </c>
      <c r="H82">
        <v>-15.102499999999999</v>
      </c>
      <c r="I82">
        <v>-9.5257142857142846E-2</v>
      </c>
      <c r="J82">
        <v>-1.7545000000000002E-2</v>
      </c>
      <c r="K82">
        <v>20.292000000000002</v>
      </c>
      <c r="L82">
        <v>-9.6177500000000009</v>
      </c>
      <c r="M82">
        <v>7.8910000000000004E-3</v>
      </c>
      <c r="N82">
        <v>8.6549999999999994</v>
      </c>
      <c r="O82">
        <v>629.39999999999986</v>
      </c>
      <c r="P82">
        <v>46.435619735258726</v>
      </c>
    </row>
    <row r="83" spans="1:16" x14ac:dyDescent="0.35">
      <c r="A83">
        <v>31</v>
      </c>
      <c r="B83" t="s">
        <v>46</v>
      </c>
      <c r="C83" t="s">
        <v>77</v>
      </c>
      <c r="D83" t="s">
        <v>77</v>
      </c>
      <c r="E83" t="s">
        <v>76</v>
      </c>
      <c r="F83" t="s">
        <v>105</v>
      </c>
      <c r="G83">
        <v>7.1951000000000001</v>
      </c>
      <c r="H83">
        <v>-18.637999999999998</v>
      </c>
      <c r="I83">
        <v>-6.3057142857142839E-2</v>
      </c>
      <c r="J83">
        <v>-5.7079999999999999E-2</v>
      </c>
      <c r="K83">
        <v>21.094999999999999</v>
      </c>
      <c r="L83">
        <v>-12.756250000000001</v>
      </c>
      <c r="M83">
        <v>4.5069999999999997E-3</v>
      </c>
      <c r="N83">
        <v>7.5449999999999999</v>
      </c>
      <c r="O83">
        <v>454.39999999999992</v>
      </c>
      <c r="P83">
        <v>64.967509025270772</v>
      </c>
    </row>
    <row r="84" spans="1:16" x14ac:dyDescent="0.35">
      <c r="A84">
        <v>32</v>
      </c>
      <c r="B84" t="s">
        <v>46</v>
      </c>
      <c r="C84" t="s">
        <v>77</v>
      </c>
      <c r="D84" t="s">
        <v>77</v>
      </c>
      <c r="E84" t="s">
        <v>76</v>
      </c>
      <c r="F84" t="s">
        <v>105</v>
      </c>
      <c r="G84">
        <v>4.7953999999999999</v>
      </c>
      <c r="H84">
        <v>-17.683500000000002</v>
      </c>
      <c r="I84">
        <v>-7.0557142857142846E-2</v>
      </c>
      <c r="J84">
        <v>-7.9600000000000001E-3</v>
      </c>
      <c r="K84">
        <v>32.472999999999999</v>
      </c>
      <c r="L84">
        <v>-11.79325</v>
      </c>
      <c r="M84">
        <v>3.9935000000000005E-3</v>
      </c>
      <c r="N84">
        <v>9.5549999999999997</v>
      </c>
      <c r="O84">
        <v>469.39999999999992</v>
      </c>
      <c r="P84">
        <v>39.335740072202171</v>
      </c>
    </row>
    <row r="85" spans="1:16" x14ac:dyDescent="0.35">
      <c r="A85">
        <v>33</v>
      </c>
      <c r="B85" t="s">
        <v>46</v>
      </c>
      <c r="C85" t="s">
        <v>77</v>
      </c>
      <c r="D85" t="s">
        <v>77</v>
      </c>
      <c r="E85" t="s">
        <v>76</v>
      </c>
      <c r="F85" t="s">
        <v>105</v>
      </c>
      <c r="G85">
        <v>5.7184999999999997</v>
      </c>
      <c r="H85">
        <v>-15.0625</v>
      </c>
      <c r="I85">
        <v>-6.5271428571428425E-3</v>
      </c>
      <c r="J85">
        <v>-1.013E-2</v>
      </c>
      <c r="K85">
        <v>23.7515</v>
      </c>
      <c r="L85">
        <v>-19.126250000000002</v>
      </c>
      <c r="M85">
        <v>1.9059E-2</v>
      </c>
      <c r="N85">
        <v>10.169999999999998</v>
      </c>
      <c r="O85">
        <v>461.39999999999992</v>
      </c>
      <c r="P85">
        <v>49.444043321299631</v>
      </c>
    </row>
    <row r="86" spans="1:16" x14ac:dyDescent="0.35">
      <c r="A86">
        <v>34</v>
      </c>
      <c r="B86" t="s">
        <v>42</v>
      </c>
      <c r="C86" t="s">
        <v>77</v>
      </c>
      <c r="D86" t="s">
        <v>76</v>
      </c>
      <c r="E86" t="s">
        <v>76</v>
      </c>
      <c r="F86" t="s">
        <v>105</v>
      </c>
      <c r="G86">
        <v>6.7963000000000005</v>
      </c>
      <c r="H86">
        <v>-12.699</v>
      </c>
      <c r="I86">
        <v>3.8128571428571595E-3</v>
      </c>
      <c r="J86">
        <v>-7.3200000000000001E-3</v>
      </c>
      <c r="K86">
        <v>21.875499999999999</v>
      </c>
      <c r="L86">
        <v>-9.6052500000000016</v>
      </c>
      <c r="M86">
        <v>1.4141000000000001E-2</v>
      </c>
      <c r="N86">
        <v>8.5200000000000014</v>
      </c>
      <c r="O86">
        <v>558.39999999999986</v>
      </c>
      <c r="P86">
        <v>46.616125150421183</v>
      </c>
    </row>
    <row r="87" spans="1:16" x14ac:dyDescent="0.35">
      <c r="A87">
        <v>35</v>
      </c>
      <c r="B87" t="s">
        <v>42</v>
      </c>
      <c r="C87" t="s">
        <v>77</v>
      </c>
      <c r="D87" t="s">
        <v>76</v>
      </c>
      <c r="E87" t="s">
        <v>76</v>
      </c>
      <c r="F87" t="s">
        <v>105</v>
      </c>
      <c r="G87">
        <v>6.3246000000000002</v>
      </c>
      <c r="H87">
        <v>-15.6355</v>
      </c>
      <c r="I87">
        <v>4.0428571428571675E-3</v>
      </c>
      <c r="J87">
        <v>-9.2899999999999996E-3</v>
      </c>
      <c r="K87">
        <v>16.782</v>
      </c>
      <c r="L87">
        <v>-4.9872499999999995</v>
      </c>
      <c r="M87">
        <v>6.5699999999999995E-3</v>
      </c>
      <c r="N87">
        <v>8.91</v>
      </c>
      <c r="O87">
        <v>548.39999999999986</v>
      </c>
      <c r="P87">
        <v>41.381468110709989</v>
      </c>
    </row>
    <row r="88" spans="1:16" x14ac:dyDescent="0.35">
      <c r="A88">
        <v>36</v>
      </c>
      <c r="B88" t="s">
        <v>42</v>
      </c>
      <c r="C88" t="s">
        <v>77</v>
      </c>
      <c r="D88" t="s">
        <v>76</v>
      </c>
      <c r="E88" t="s">
        <v>76</v>
      </c>
      <c r="F88" t="s">
        <v>105</v>
      </c>
      <c r="G88">
        <v>6.8825000000000003</v>
      </c>
      <c r="H88">
        <v>-12.109500000000001</v>
      </c>
      <c r="I88">
        <v>1.7332857142857164E-2</v>
      </c>
      <c r="J88">
        <v>-1.2449999999999999E-2</v>
      </c>
      <c r="K88">
        <v>30.704000000000001</v>
      </c>
      <c r="L88">
        <v>-12.113250000000001</v>
      </c>
      <c r="M88">
        <v>9.8589999999999997E-3</v>
      </c>
      <c r="N88">
        <v>8.8949999999999996</v>
      </c>
      <c r="O88">
        <v>670.39999999999986</v>
      </c>
      <c r="P88">
        <v>49.925391095066182</v>
      </c>
    </row>
    <row r="89" spans="1:16" x14ac:dyDescent="0.35">
      <c r="A89">
        <v>37</v>
      </c>
      <c r="B89" t="s">
        <v>44</v>
      </c>
      <c r="C89" t="s">
        <v>77</v>
      </c>
      <c r="D89" t="s">
        <v>76</v>
      </c>
      <c r="E89" t="s">
        <v>76</v>
      </c>
      <c r="F89" t="s">
        <v>105</v>
      </c>
      <c r="G89">
        <v>5.4674500000000004</v>
      </c>
      <c r="H89">
        <v>-15.388500000000001</v>
      </c>
      <c r="I89">
        <v>3.2028571428571601E-3</v>
      </c>
      <c r="J89">
        <v>-6.195E-3</v>
      </c>
      <c r="K89">
        <v>17.210999999999999</v>
      </c>
      <c r="L89">
        <v>-8.1267500000000013</v>
      </c>
      <c r="M89">
        <v>3.2524999999999998E-2</v>
      </c>
      <c r="N89">
        <v>10.5</v>
      </c>
      <c r="O89">
        <v>627.39999999999986</v>
      </c>
      <c r="P89">
        <v>47.067388688327313</v>
      </c>
    </row>
    <row r="90" spans="1:16" x14ac:dyDescent="0.35">
      <c r="A90">
        <v>38</v>
      </c>
      <c r="B90" t="s">
        <v>44</v>
      </c>
      <c r="C90" t="s">
        <v>77</v>
      </c>
      <c r="D90" t="s">
        <v>76</v>
      </c>
      <c r="E90" t="s">
        <v>76</v>
      </c>
      <c r="F90" t="s">
        <v>105</v>
      </c>
      <c r="G90">
        <v>7.25875</v>
      </c>
      <c r="H90">
        <v>-12.7745</v>
      </c>
      <c r="I90">
        <v>-2.1957142857142842E-2</v>
      </c>
      <c r="J90">
        <v>-6.6129999999999994E-2</v>
      </c>
      <c r="K90">
        <v>16.433999999999997</v>
      </c>
      <c r="L90">
        <v>-15.001249999999999</v>
      </c>
      <c r="M90">
        <v>2.3120000000000002E-2</v>
      </c>
      <c r="N90">
        <v>8.8650000000000002</v>
      </c>
      <c r="O90">
        <v>637.39999999999986</v>
      </c>
      <c r="P90">
        <v>33.559566787003604</v>
      </c>
    </row>
    <row r="91" spans="1:16" x14ac:dyDescent="0.35">
      <c r="A91">
        <v>39</v>
      </c>
      <c r="B91" t="s">
        <v>44</v>
      </c>
      <c r="C91" t="s">
        <v>77</v>
      </c>
      <c r="D91" t="s">
        <v>76</v>
      </c>
      <c r="E91" t="s">
        <v>76</v>
      </c>
      <c r="F91" t="s">
        <v>105</v>
      </c>
      <c r="G91">
        <v>7.0042500000000008</v>
      </c>
      <c r="H91">
        <v>-15.0565</v>
      </c>
      <c r="I91">
        <v>-2.2957142857142843E-2</v>
      </c>
      <c r="J91">
        <v>-2.0764999999999999E-2</v>
      </c>
      <c r="K91">
        <v>29.975999999999999</v>
      </c>
      <c r="L91">
        <v>-13.244250000000001</v>
      </c>
      <c r="M91">
        <v>1.7239999999999998E-2</v>
      </c>
      <c r="N91">
        <v>10.215</v>
      </c>
      <c r="O91">
        <v>651.39999999999986</v>
      </c>
      <c r="P91">
        <v>57.005214600882475</v>
      </c>
    </row>
    <row r="92" spans="1:16" x14ac:dyDescent="0.35">
      <c r="A92">
        <v>40</v>
      </c>
      <c r="B92" t="s">
        <v>46</v>
      </c>
      <c r="C92" t="s">
        <v>77</v>
      </c>
      <c r="D92" t="s">
        <v>76</v>
      </c>
      <c r="E92" t="s">
        <v>76</v>
      </c>
      <c r="F92" t="s">
        <v>105</v>
      </c>
      <c r="G92">
        <v>8.3765499999999999</v>
      </c>
      <c r="H92">
        <v>-14.9345</v>
      </c>
      <c r="I92">
        <v>-3.8657142857142834E-2</v>
      </c>
      <c r="J92">
        <v>-1.0345E-2</v>
      </c>
      <c r="K92">
        <v>20.202500000000001</v>
      </c>
      <c r="L92">
        <v>-13.365750000000002</v>
      </c>
      <c r="M92">
        <v>1.2630000000000001E-2</v>
      </c>
      <c r="N92">
        <v>9.09</v>
      </c>
      <c r="O92">
        <v>466.39999999999986</v>
      </c>
      <c r="P92">
        <v>75.376654632972333</v>
      </c>
    </row>
    <row r="93" spans="1:16" x14ac:dyDescent="0.35">
      <c r="A93">
        <v>41</v>
      </c>
      <c r="B93" t="s">
        <v>46</v>
      </c>
      <c r="C93" t="s">
        <v>77</v>
      </c>
      <c r="D93" t="s">
        <v>76</v>
      </c>
      <c r="E93" t="s">
        <v>76</v>
      </c>
      <c r="F93" t="s">
        <v>105</v>
      </c>
      <c r="G93">
        <v>7.0069999999999997</v>
      </c>
      <c r="H93">
        <v>-16.923000000000002</v>
      </c>
      <c r="I93">
        <v>-3.4857142857142837E-2</v>
      </c>
      <c r="J93">
        <v>-5.5149999999999999E-3</v>
      </c>
      <c r="K93">
        <v>16.3125</v>
      </c>
      <c r="L93">
        <v>-5.4387499999999989</v>
      </c>
      <c r="M93">
        <v>1.5630000000000002E-2</v>
      </c>
      <c r="N93">
        <v>9.5400000000000009</v>
      </c>
      <c r="O93">
        <v>446</v>
      </c>
      <c r="P93">
        <v>39.335740072202164</v>
      </c>
    </row>
    <row r="94" spans="1:16" x14ac:dyDescent="0.35">
      <c r="A94">
        <v>42</v>
      </c>
      <c r="B94" t="s">
        <v>46</v>
      </c>
      <c r="C94" t="s">
        <v>77</v>
      </c>
      <c r="D94" t="s">
        <v>76</v>
      </c>
      <c r="E94" t="s">
        <v>76</v>
      </c>
      <c r="F94" t="s">
        <v>105</v>
      </c>
      <c r="G94">
        <v>7.7574000000000005</v>
      </c>
      <c r="H94">
        <v>-16.061</v>
      </c>
      <c r="I94">
        <v>-1.9257142857142834E-2</v>
      </c>
      <c r="J94">
        <v>-1.3475000000000001E-2</v>
      </c>
      <c r="K94">
        <v>26.753999999999998</v>
      </c>
      <c r="L94">
        <v>-12.166250000000002</v>
      </c>
      <c r="M94">
        <v>1.866E-3</v>
      </c>
      <c r="N94">
        <v>9.8399999999999981</v>
      </c>
      <c r="O94">
        <v>416</v>
      </c>
      <c r="P94">
        <v>36.26714801444043</v>
      </c>
    </row>
    <row r="95" spans="1:16" x14ac:dyDescent="0.35">
      <c r="A95">
        <v>43</v>
      </c>
      <c r="B95" t="s">
        <v>42</v>
      </c>
      <c r="C95" t="s">
        <v>77</v>
      </c>
      <c r="D95" t="s">
        <v>77</v>
      </c>
      <c r="E95" t="s">
        <v>76</v>
      </c>
      <c r="F95" t="s">
        <v>105</v>
      </c>
      <c r="G95">
        <v>6.4076000000000004</v>
      </c>
      <c r="H95">
        <v>-15.453999999999999</v>
      </c>
      <c r="I95">
        <v>1.8852857142857157E-2</v>
      </c>
      <c r="J95">
        <v>-1.8384999999999999E-2</v>
      </c>
      <c r="K95">
        <v>26.488</v>
      </c>
      <c r="L95">
        <v>-23.296250000000001</v>
      </c>
      <c r="M95">
        <v>2.053E-2</v>
      </c>
      <c r="N95">
        <v>12.375</v>
      </c>
      <c r="O95">
        <v>592.25</v>
      </c>
      <c r="P95">
        <v>47.097472924187727</v>
      </c>
    </row>
    <row r="96" spans="1:16" x14ac:dyDescent="0.35">
      <c r="A96">
        <v>44</v>
      </c>
      <c r="B96" t="s">
        <v>42</v>
      </c>
      <c r="C96" t="s">
        <v>77</v>
      </c>
      <c r="D96" t="s">
        <v>77</v>
      </c>
      <c r="E96" t="s">
        <v>76</v>
      </c>
      <c r="F96" t="s">
        <v>105</v>
      </c>
      <c r="G96">
        <v>6.1978</v>
      </c>
      <c r="H96">
        <v>-14.881499999999999</v>
      </c>
      <c r="I96">
        <v>-3.7271428571428317E-3</v>
      </c>
      <c r="J96">
        <v>-3.9900000000000005E-3</v>
      </c>
      <c r="K96">
        <v>17.859000000000002</v>
      </c>
      <c r="L96">
        <v>-21.445250000000001</v>
      </c>
      <c r="M96">
        <v>8.2974999999999993E-3</v>
      </c>
      <c r="N96">
        <v>8.49</v>
      </c>
      <c r="O96">
        <v>668.5</v>
      </c>
      <c r="P96">
        <v>63.373044524669083</v>
      </c>
    </row>
    <row r="97" spans="1:16" x14ac:dyDescent="0.35">
      <c r="A97">
        <v>45</v>
      </c>
      <c r="B97" t="s">
        <v>42</v>
      </c>
      <c r="C97" t="s">
        <v>77</v>
      </c>
      <c r="D97" t="s">
        <v>77</v>
      </c>
      <c r="E97" t="s">
        <v>76</v>
      </c>
      <c r="F97" t="s">
        <v>105</v>
      </c>
      <c r="G97">
        <v>8.5239499999999992</v>
      </c>
      <c r="H97">
        <v>-15.576999999999998</v>
      </c>
      <c r="I97">
        <v>-1.0957142857142832E-2</v>
      </c>
      <c r="J97">
        <v>-1.32E-2</v>
      </c>
      <c r="K97">
        <v>24.141999999999999</v>
      </c>
      <c r="L97">
        <v>-11.083750000000002</v>
      </c>
      <c r="M97">
        <v>9.0000000000000011E-3</v>
      </c>
      <c r="N97">
        <v>10.41</v>
      </c>
      <c r="O97">
        <v>597.24999999999977</v>
      </c>
      <c r="P97">
        <v>40.719614921780988</v>
      </c>
    </row>
    <row r="98" spans="1:16" x14ac:dyDescent="0.35">
      <c r="A98">
        <v>46</v>
      </c>
      <c r="B98" t="s">
        <v>44</v>
      </c>
      <c r="C98" t="s">
        <v>77</v>
      </c>
      <c r="D98" t="s">
        <v>77</v>
      </c>
      <c r="E98" t="s">
        <v>76</v>
      </c>
      <c r="F98" t="s">
        <v>105</v>
      </c>
      <c r="G98">
        <v>8.41995</v>
      </c>
      <c r="H98">
        <v>-16.806000000000001</v>
      </c>
      <c r="I98">
        <v>-2.045714285714284E-2</v>
      </c>
      <c r="J98">
        <v>-1.9799999999999998E-2</v>
      </c>
      <c r="K98">
        <v>22.838000000000001</v>
      </c>
      <c r="L98">
        <v>-8.5522500000000008</v>
      </c>
      <c r="M98">
        <v>3.1965000000000006E-3</v>
      </c>
      <c r="N98">
        <v>9.0150000000000006</v>
      </c>
      <c r="O98">
        <v>337.24999999999989</v>
      </c>
      <c r="P98">
        <v>42.825511432009627</v>
      </c>
    </row>
    <row r="99" spans="1:16" x14ac:dyDescent="0.35">
      <c r="A99">
        <v>47</v>
      </c>
      <c r="B99" t="s">
        <v>44</v>
      </c>
      <c r="C99" t="s">
        <v>77</v>
      </c>
      <c r="D99" t="s">
        <v>77</v>
      </c>
      <c r="E99" t="s">
        <v>76</v>
      </c>
      <c r="F99" t="s">
        <v>105</v>
      </c>
      <c r="G99">
        <v>7.8512500000000003</v>
      </c>
      <c r="H99">
        <v>-15.834499999999998</v>
      </c>
      <c r="I99">
        <v>-2.0657142857142832E-2</v>
      </c>
      <c r="J99">
        <v>-1.0145000000000001E-2</v>
      </c>
      <c r="K99">
        <v>29.515000000000001</v>
      </c>
      <c r="L99">
        <v>-12.97025</v>
      </c>
      <c r="M99">
        <v>3.496E-3</v>
      </c>
      <c r="N99">
        <v>7.26</v>
      </c>
      <c r="O99">
        <v>462.24999999999989</v>
      </c>
      <c r="P99">
        <v>27.693140794223829</v>
      </c>
    </row>
    <row r="100" spans="1:16" x14ac:dyDescent="0.35">
      <c r="A100">
        <v>48</v>
      </c>
      <c r="B100" t="s">
        <v>44</v>
      </c>
      <c r="C100" t="s">
        <v>77</v>
      </c>
      <c r="D100" t="s">
        <v>77</v>
      </c>
      <c r="E100" t="s">
        <v>76</v>
      </c>
      <c r="F100" t="s">
        <v>105</v>
      </c>
      <c r="G100">
        <v>8.7528499999999987</v>
      </c>
      <c r="H100">
        <v>-16.644500000000001</v>
      </c>
      <c r="I100">
        <v>-1.6857142857142834E-2</v>
      </c>
      <c r="J100">
        <v>-1.7375000000000002E-2</v>
      </c>
      <c r="K100">
        <v>32.151000000000003</v>
      </c>
      <c r="L100">
        <v>-14.314250000000001</v>
      </c>
      <c r="M100">
        <v>2.4935000000000001E-3</v>
      </c>
      <c r="N100">
        <v>6.9750000000000005</v>
      </c>
      <c r="O100">
        <v>598.49999999999989</v>
      </c>
      <c r="P100">
        <v>29.979542719614923</v>
      </c>
    </row>
    <row r="101" spans="1:16" x14ac:dyDescent="0.35">
      <c r="A101">
        <v>49</v>
      </c>
      <c r="B101" t="s">
        <v>46</v>
      </c>
      <c r="C101" t="s">
        <v>77</v>
      </c>
      <c r="D101" t="s">
        <v>77</v>
      </c>
      <c r="E101" t="s">
        <v>76</v>
      </c>
      <c r="F101" t="s">
        <v>105</v>
      </c>
      <c r="G101">
        <v>6.0281500000000001</v>
      </c>
      <c r="H101">
        <v>-18.223500000000001</v>
      </c>
      <c r="I101">
        <v>-4.7157142857142842E-2</v>
      </c>
      <c r="J101">
        <v>-6.5700000000000003E-4</v>
      </c>
      <c r="K101">
        <v>15.237500000000001</v>
      </c>
      <c r="L101">
        <v>-13.005749999999999</v>
      </c>
      <c r="M101">
        <v>6.4250000000000002E-2</v>
      </c>
      <c r="N101">
        <v>7.7925000000000013</v>
      </c>
      <c r="O101">
        <v>483.49999999999989</v>
      </c>
      <c r="P101">
        <v>30.069795427196148</v>
      </c>
    </row>
    <row r="102" spans="1:16" x14ac:dyDescent="0.35">
      <c r="A102">
        <v>50</v>
      </c>
      <c r="B102" t="s">
        <v>46</v>
      </c>
      <c r="C102" t="s">
        <v>77</v>
      </c>
      <c r="D102" t="s">
        <v>77</v>
      </c>
      <c r="E102" t="s">
        <v>76</v>
      </c>
      <c r="F102" t="s">
        <v>105</v>
      </c>
      <c r="G102">
        <v>6.9370500000000002</v>
      </c>
      <c r="H102">
        <v>-17.9465</v>
      </c>
      <c r="I102">
        <v>-5.6957142857142845E-2</v>
      </c>
      <c r="J102">
        <v>-1.7090000000000001E-2</v>
      </c>
      <c r="K102">
        <v>11.3345</v>
      </c>
      <c r="L102">
        <v>-16.317250000000001</v>
      </c>
      <c r="M102">
        <v>2.2855E-2</v>
      </c>
      <c r="N102">
        <v>7.8825000000000012</v>
      </c>
      <c r="O102">
        <v>459.75</v>
      </c>
      <c r="P102">
        <v>43.186522262334535</v>
      </c>
    </row>
    <row r="103" spans="1:16" x14ac:dyDescent="0.35">
      <c r="A103">
        <v>51</v>
      </c>
      <c r="B103" t="s">
        <v>46</v>
      </c>
      <c r="C103" t="s">
        <v>77</v>
      </c>
      <c r="D103" t="s">
        <v>77</v>
      </c>
      <c r="E103" t="s">
        <v>76</v>
      </c>
      <c r="F103" t="s">
        <v>105</v>
      </c>
      <c r="G103">
        <v>6.6565500000000002</v>
      </c>
      <c r="H103">
        <v>-18.738500000000002</v>
      </c>
      <c r="I103">
        <v>5.212857142857158E-3</v>
      </c>
      <c r="J103">
        <v>4.5450000000000004E-3</v>
      </c>
      <c r="K103">
        <v>12.0815</v>
      </c>
      <c r="L103">
        <v>-19.190750000000001</v>
      </c>
      <c r="M103">
        <v>9.9444499999999991E-2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60B1-5EC2-4171-88E9-D08932D940EE}">
  <dimension ref="A1:AI226"/>
  <sheetViews>
    <sheetView zoomScale="70" zoomScaleNormal="70" workbookViewId="0">
      <pane xSplit="1" topLeftCell="O1" activePane="topRight" state="frozen"/>
      <selection activeCell="A34" sqref="A34"/>
      <selection pane="topRight" activeCell="H114" sqref="H114"/>
    </sheetView>
  </sheetViews>
  <sheetFormatPr baseColWidth="10" defaultRowHeight="14.5" x14ac:dyDescent="0.35"/>
  <cols>
    <col min="1" max="1" width="9.26953125" bestFit="1" customWidth="1"/>
    <col min="2" max="2" width="7.7265625" bestFit="1" customWidth="1"/>
    <col min="3" max="3" width="8.08984375" style="1" customWidth="1"/>
    <col min="4" max="4" width="7.453125" style="1" customWidth="1"/>
    <col min="5" max="5" width="14.54296875" style="43" bestFit="1" customWidth="1"/>
    <col min="6" max="6" width="13.54296875" style="43" bestFit="1" customWidth="1"/>
    <col min="7" max="7" width="8.81640625" style="2" customWidth="1"/>
    <col min="8" max="8" width="7.7265625" style="2" customWidth="1"/>
    <col min="9" max="9" width="15.1796875" style="43" bestFit="1" customWidth="1"/>
    <col min="10" max="10" width="14.1796875" style="43" bestFit="1" customWidth="1"/>
    <col min="11" max="11" width="8.453125" style="3" customWidth="1"/>
    <col min="12" max="12" width="7.6328125" style="3" customWidth="1"/>
    <col min="13" max="13" width="14.81640625" style="43" bestFit="1" customWidth="1"/>
    <col min="14" max="14" width="13.81640625" style="43" bestFit="1" customWidth="1"/>
    <col min="15" max="15" width="7.54296875" style="4" customWidth="1"/>
    <col min="16" max="16" width="6.54296875" style="4" customWidth="1"/>
    <col min="17" max="17" width="14" style="43" bestFit="1" customWidth="1"/>
    <col min="18" max="18" width="13" style="43" bestFit="1" customWidth="1"/>
    <col min="19" max="19" width="8.7265625" style="6" customWidth="1"/>
    <col min="20" max="20" width="7.81640625" style="6" customWidth="1"/>
    <col min="21" max="21" width="15.1796875" style="43" bestFit="1" customWidth="1"/>
    <col min="22" max="22" width="15.90625" style="43" bestFit="1" customWidth="1"/>
    <col min="23" max="23" width="8.6328125" style="16" customWidth="1"/>
    <col min="24" max="24" width="7.54296875" style="16" customWidth="1"/>
    <col min="25" max="25" width="14.90625" style="43" bestFit="1" customWidth="1"/>
    <col min="26" max="26" width="13.90625" style="43" bestFit="1" customWidth="1"/>
    <col min="27" max="28" width="10.90625" style="14"/>
  </cols>
  <sheetData>
    <row r="1" spans="1:35" x14ac:dyDescent="0.35">
      <c r="A1" s="43" t="s">
        <v>61</v>
      </c>
      <c r="C1" s="43">
        <v>200</v>
      </c>
      <c r="D1" s="43">
        <v>200</v>
      </c>
      <c r="F1" s="43" t="s">
        <v>61</v>
      </c>
      <c r="G1" s="43">
        <v>205</v>
      </c>
      <c r="H1" s="43">
        <v>205</v>
      </c>
      <c r="J1" s="43" t="s">
        <v>61</v>
      </c>
      <c r="K1" s="43">
        <v>200</v>
      </c>
      <c r="L1" s="43">
        <v>200</v>
      </c>
      <c r="N1" s="43" t="s">
        <v>61</v>
      </c>
      <c r="O1" s="43">
        <v>210</v>
      </c>
      <c r="P1" s="43">
        <v>200</v>
      </c>
      <c r="R1" s="43" t="s">
        <v>61</v>
      </c>
      <c r="S1" s="43">
        <v>200</v>
      </c>
      <c r="T1" s="43">
        <v>200</v>
      </c>
      <c r="V1" s="43" t="s">
        <v>61</v>
      </c>
      <c r="W1" s="43">
        <v>220</v>
      </c>
      <c r="X1" s="43">
        <v>220</v>
      </c>
      <c r="Z1" s="43" t="s">
        <v>61</v>
      </c>
      <c r="AA1" s="43">
        <v>200</v>
      </c>
      <c r="AB1" s="43">
        <v>200</v>
      </c>
    </row>
    <row r="2" spans="1:35" x14ac:dyDescent="0.35">
      <c r="A2" s="43" t="s">
        <v>62</v>
      </c>
      <c r="C2" s="43">
        <v>10</v>
      </c>
      <c r="D2" s="43">
        <v>10</v>
      </c>
      <c r="F2" s="43" t="s">
        <v>62</v>
      </c>
      <c r="G2" s="43">
        <v>10</v>
      </c>
      <c r="H2" s="43">
        <v>10</v>
      </c>
      <c r="J2" s="43" t="s">
        <v>62</v>
      </c>
      <c r="K2" s="43">
        <v>10</v>
      </c>
      <c r="L2" s="43">
        <v>10</v>
      </c>
      <c r="N2" s="43" t="s">
        <v>62</v>
      </c>
      <c r="O2" s="43">
        <v>20</v>
      </c>
      <c r="P2" s="43">
        <v>10</v>
      </c>
      <c r="R2" s="43" t="s">
        <v>62</v>
      </c>
      <c r="S2" s="43">
        <v>10</v>
      </c>
      <c r="T2" s="43">
        <v>10</v>
      </c>
      <c r="V2" s="43" t="s">
        <v>62</v>
      </c>
      <c r="W2" s="43">
        <v>30</v>
      </c>
      <c r="X2" s="43">
        <v>30</v>
      </c>
      <c r="Z2" s="43" t="s">
        <v>62</v>
      </c>
      <c r="AA2" s="43">
        <v>10</v>
      </c>
      <c r="AB2" s="43">
        <v>10</v>
      </c>
    </row>
    <row r="3" spans="1:35" x14ac:dyDescent="0.35">
      <c r="A3" s="43" t="s">
        <v>63</v>
      </c>
      <c r="C3" s="44">
        <v>39.58</v>
      </c>
      <c r="D3" s="44">
        <v>39.58</v>
      </c>
      <c r="F3" s="43" t="s">
        <v>63</v>
      </c>
      <c r="G3" s="43">
        <f>21*10^3</f>
        <v>21000</v>
      </c>
      <c r="H3" s="43">
        <f>21*10^3</f>
        <v>21000</v>
      </c>
      <c r="J3" s="43" t="s">
        <v>63</v>
      </c>
      <c r="K3" s="43">
        <f>9.6*10^3</f>
        <v>9600</v>
      </c>
      <c r="L3" s="43">
        <f>9.6*10^3</f>
        <v>9600</v>
      </c>
      <c r="N3" s="43" t="s">
        <v>63</v>
      </c>
      <c r="O3" s="43">
        <f>6.22*10^3</f>
        <v>6220</v>
      </c>
      <c r="P3" s="43">
        <f>6.22*10^3</f>
        <v>6220</v>
      </c>
      <c r="R3" s="43" t="s">
        <v>63</v>
      </c>
      <c r="S3" s="43"/>
      <c r="T3" s="43"/>
      <c r="V3" s="43" t="s">
        <v>63</v>
      </c>
      <c r="W3" s="43">
        <f>6.22*10^3</f>
        <v>6220</v>
      </c>
      <c r="X3" s="43">
        <f>6.22*10^3</f>
        <v>6220</v>
      </c>
      <c r="Z3" s="43" t="s">
        <v>63</v>
      </c>
      <c r="AA3" s="43">
        <f>6.22*10^3</f>
        <v>6220</v>
      </c>
      <c r="AB3" s="43">
        <f>6.22*10^3</f>
        <v>6220</v>
      </c>
    </row>
    <row r="4" spans="1:35" x14ac:dyDescent="0.35">
      <c r="A4" s="43" t="s">
        <v>64</v>
      </c>
      <c r="C4" s="44">
        <v>16</v>
      </c>
      <c r="D4" s="44">
        <v>16</v>
      </c>
      <c r="F4" s="43" t="s">
        <v>64</v>
      </c>
      <c r="G4" s="43">
        <v>2</v>
      </c>
      <c r="H4" s="43">
        <v>1</v>
      </c>
      <c r="J4" s="43" t="s">
        <v>64</v>
      </c>
      <c r="K4" s="43">
        <v>16</v>
      </c>
      <c r="L4" s="43">
        <v>32</v>
      </c>
      <c r="N4" s="43" t="s">
        <v>64</v>
      </c>
      <c r="O4" s="43">
        <v>1</v>
      </c>
      <c r="P4" s="43">
        <v>1</v>
      </c>
      <c r="R4" s="43" t="s">
        <v>64</v>
      </c>
      <c r="S4" s="43">
        <v>4</v>
      </c>
      <c r="T4" s="43">
        <v>4</v>
      </c>
      <c r="V4" s="43" t="s">
        <v>64</v>
      </c>
      <c r="W4" s="43">
        <v>1</v>
      </c>
      <c r="X4" s="43">
        <v>1</v>
      </c>
      <c r="Z4" s="43" t="s">
        <v>64</v>
      </c>
      <c r="AA4" s="43"/>
      <c r="AB4" s="43"/>
      <c r="AE4" s="90" t="s">
        <v>116</v>
      </c>
      <c r="AF4" s="90"/>
      <c r="AG4" s="90" t="s">
        <v>117</v>
      </c>
      <c r="AH4" s="90"/>
    </row>
    <row r="5" spans="1:35" x14ac:dyDescent="0.35">
      <c r="A5" s="43" t="s">
        <v>60</v>
      </c>
      <c r="B5" s="43">
        <v>0.6</v>
      </c>
      <c r="C5" s="43"/>
      <c r="D5" s="43"/>
      <c r="G5" s="43"/>
      <c r="H5" s="43"/>
      <c r="K5" s="43"/>
      <c r="L5" s="43"/>
      <c r="O5" s="43"/>
      <c r="P5" s="43"/>
      <c r="S5" s="43"/>
      <c r="T5" s="43"/>
      <c r="W5" s="43"/>
      <c r="X5" s="43"/>
      <c r="AA5" s="43"/>
      <c r="AB5" s="43"/>
      <c r="AE5" s="91"/>
      <c r="AF5" s="91"/>
      <c r="AG5" s="90"/>
      <c r="AH5" s="90"/>
    </row>
    <row r="6" spans="1:35" s="66" customFormat="1" x14ac:dyDescent="0.35">
      <c r="A6" s="57" t="s">
        <v>4</v>
      </c>
      <c r="B6" s="57" t="s">
        <v>0</v>
      </c>
      <c r="C6" s="58" t="s">
        <v>1</v>
      </c>
      <c r="D6" s="58" t="s">
        <v>2</v>
      </c>
      <c r="E6" s="59"/>
      <c r="F6" s="59"/>
      <c r="G6" s="60" t="s">
        <v>5</v>
      </c>
      <c r="H6" s="60" t="s">
        <v>6</v>
      </c>
      <c r="I6" s="59"/>
      <c r="J6" s="59"/>
      <c r="K6" s="61" t="s">
        <v>8</v>
      </c>
      <c r="L6" s="61" t="s">
        <v>9</v>
      </c>
      <c r="M6" s="59"/>
      <c r="N6" s="59"/>
      <c r="O6" s="62" t="s">
        <v>14</v>
      </c>
      <c r="P6" s="62" t="s">
        <v>15</v>
      </c>
      <c r="Q6" s="59"/>
      <c r="R6" s="59"/>
      <c r="S6" s="63" t="s">
        <v>16</v>
      </c>
      <c r="T6" s="63" t="s">
        <v>17</v>
      </c>
      <c r="U6" s="59"/>
      <c r="V6" s="59"/>
      <c r="W6" s="64" t="s">
        <v>20</v>
      </c>
      <c r="X6" s="64" t="s">
        <v>21</v>
      </c>
      <c r="Y6" s="59"/>
      <c r="Z6" s="59"/>
      <c r="AA6" s="65" t="s">
        <v>18</v>
      </c>
      <c r="AB6" s="65" t="s">
        <v>19</v>
      </c>
      <c r="AC6" s="66" t="s">
        <v>12</v>
      </c>
      <c r="AD6" s="66" t="s">
        <v>12</v>
      </c>
      <c r="AE6" s="67" t="s">
        <v>114</v>
      </c>
      <c r="AF6" s="67" t="s">
        <v>115</v>
      </c>
    </row>
    <row r="7" spans="1:35" x14ac:dyDescent="0.35">
      <c r="A7" s="17">
        <v>1</v>
      </c>
      <c r="B7" s="17">
        <v>1</v>
      </c>
      <c r="C7" s="18">
        <v>-13.295999999999999</v>
      </c>
      <c r="D7" s="18">
        <v>-12.712999999999999</v>
      </c>
      <c r="E7" s="41"/>
      <c r="F7" s="41"/>
      <c r="G7" s="19">
        <v>-14.14</v>
      </c>
      <c r="H7" s="19">
        <v>-16.452999999999999</v>
      </c>
      <c r="I7" s="41"/>
      <c r="J7" s="41"/>
      <c r="K7" s="20">
        <v>18.062999999999999</v>
      </c>
      <c r="L7" s="20">
        <v>6.5250000000000004</v>
      </c>
      <c r="M7" s="41"/>
      <c r="N7" s="41"/>
      <c r="O7" s="21">
        <v>-3.1559999999999998E-2</v>
      </c>
      <c r="P7" s="21">
        <v>-0.316</v>
      </c>
      <c r="Q7" s="42"/>
      <c r="R7" s="42"/>
      <c r="S7" s="22">
        <v>6.5873999999999997</v>
      </c>
      <c r="T7" s="22">
        <v>8.4238999999999997</v>
      </c>
      <c r="U7" s="42"/>
      <c r="V7" s="42"/>
      <c r="W7" s="23">
        <v>-8.4190000000000001E-2</v>
      </c>
      <c r="X7" s="23">
        <v>-7.8E-2</v>
      </c>
      <c r="Y7" s="42"/>
      <c r="Z7" s="42"/>
      <c r="AA7" s="24">
        <f>3.609*10^-3</f>
        <v>3.6090000000000002E-3</v>
      </c>
      <c r="AB7" s="24">
        <f>4.174*10^-3</f>
        <v>4.1740000000000006E-3</v>
      </c>
      <c r="AE7" s="54">
        <v>0.26900000000000002</v>
      </c>
      <c r="AF7" s="54">
        <v>0.27500000000000002</v>
      </c>
      <c r="AG7" s="54">
        <v>0.186</v>
      </c>
      <c r="AH7" s="54">
        <v>0.20200000000000001</v>
      </c>
    </row>
    <row r="8" spans="1:35" x14ac:dyDescent="0.35">
      <c r="A8" s="17">
        <v>1</v>
      </c>
      <c r="B8" s="17">
        <v>2</v>
      </c>
      <c r="C8" s="18">
        <v>-8.2834000000000003</v>
      </c>
      <c r="D8" s="18">
        <v>-10.763</v>
      </c>
      <c r="E8" s="41"/>
      <c r="F8" s="41"/>
      <c r="G8" s="19">
        <v>-16.084</v>
      </c>
      <c r="H8" s="19">
        <v>-19.495999999999999</v>
      </c>
      <c r="I8" s="41"/>
      <c r="J8" s="41"/>
      <c r="K8" s="20">
        <v>17.753</v>
      </c>
      <c r="L8" s="20">
        <v>3.8182</v>
      </c>
      <c r="M8" s="41"/>
      <c r="N8" s="41"/>
      <c r="O8" s="21">
        <v>-2.9739999999999999E-2</v>
      </c>
      <c r="P8" s="21">
        <v>-1.129E-2</v>
      </c>
      <c r="Q8" s="42"/>
      <c r="R8" s="42"/>
      <c r="S8" s="22">
        <v>7.8752000000000004</v>
      </c>
      <c r="T8" s="22">
        <v>6.4336000000000002</v>
      </c>
      <c r="U8" s="42"/>
      <c r="V8" s="42"/>
      <c r="W8" s="23" t="s">
        <v>3</v>
      </c>
      <c r="X8" s="23" t="s">
        <v>3</v>
      </c>
      <c r="Y8" s="42"/>
      <c r="Z8" s="42"/>
      <c r="AB8" s="24">
        <f>4.216*10^-3</f>
        <v>4.2160000000000001E-3</v>
      </c>
      <c r="AE8" s="55">
        <v>0.28199999999999997</v>
      </c>
      <c r="AF8" s="55"/>
      <c r="AG8" s="55">
        <v>0.217</v>
      </c>
      <c r="AH8" s="55"/>
    </row>
    <row r="9" spans="1:35" x14ac:dyDescent="0.35">
      <c r="A9" s="17">
        <v>2</v>
      </c>
      <c r="B9" s="17">
        <v>1</v>
      </c>
      <c r="C9" s="18">
        <v>-6.3087999999999997</v>
      </c>
      <c r="D9" s="18">
        <v>-12.958</v>
      </c>
      <c r="E9" s="41"/>
      <c r="F9" s="41"/>
      <c r="G9" s="19">
        <v>-13.217000000000001</v>
      </c>
      <c r="H9" s="19">
        <v>-22.640999999999998</v>
      </c>
      <c r="I9" s="41"/>
      <c r="J9" s="41"/>
      <c r="K9" s="20">
        <v>11.154</v>
      </c>
      <c r="L9" s="20">
        <v>8.3734999999999999</v>
      </c>
      <c r="M9" s="41"/>
      <c r="N9" s="41"/>
      <c r="O9" s="21">
        <v>-2.0840000000000001E-2</v>
      </c>
      <c r="P9" s="21">
        <v>-2.2290000000000001E-2</v>
      </c>
      <c r="Q9" s="42"/>
      <c r="R9" s="42"/>
      <c r="S9" s="22">
        <v>7.7622</v>
      </c>
      <c r="T9" s="22">
        <v>7.1006</v>
      </c>
      <c r="U9" s="42"/>
      <c r="V9" s="42"/>
      <c r="W9" s="23">
        <v>-0.14030000000000001</v>
      </c>
      <c r="X9" s="23">
        <v>-0.1956</v>
      </c>
      <c r="Y9" s="42"/>
      <c r="Z9" s="42"/>
      <c r="AA9" s="24">
        <f>5.865*10^-3</f>
        <v>5.8650000000000004E-3</v>
      </c>
      <c r="AB9" s="24">
        <v>5.3370000000000001E-2</v>
      </c>
      <c r="AE9" s="54">
        <v>0.17599999999999999</v>
      </c>
      <c r="AF9" s="54">
        <v>0.191</v>
      </c>
      <c r="AG9" s="54">
        <v>0.32400000000000001</v>
      </c>
      <c r="AH9" s="54">
        <v>0.34699999999999998</v>
      </c>
    </row>
    <row r="10" spans="1:35" x14ac:dyDescent="0.35">
      <c r="A10" s="17">
        <v>2</v>
      </c>
      <c r="B10" s="17">
        <v>2</v>
      </c>
      <c r="C10" s="18">
        <v>-4.3939000000000004</v>
      </c>
      <c r="D10" s="18">
        <v>-13.246</v>
      </c>
      <c r="E10" s="41"/>
      <c r="F10" s="41"/>
      <c r="G10" s="19">
        <v>-15.468999999999999</v>
      </c>
      <c r="H10" s="19">
        <v>-22.661000000000001</v>
      </c>
      <c r="I10" s="41"/>
      <c r="J10" s="41"/>
      <c r="K10" s="20">
        <v>11.539</v>
      </c>
      <c r="L10" s="20">
        <v>5.8323999999999998</v>
      </c>
      <c r="M10" s="41"/>
      <c r="N10" s="41"/>
      <c r="O10" s="21">
        <v>-2.7709999999999999E-2</v>
      </c>
      <c r="P10" s="21">
        <v>-1.455E-2</v>
      </c>
      <c r="Q10" s="42"/>
      <c r="R10" s="42"/>
      <c r="S10" s="22">
        <v>8.1494999999999997</v>
      </c>
      <c r="T10" s="22">
        <v>7.8913000000000002</v>
      </c>
      <c r="U10" s="42"/>
      <c r="V10" s="42"/>
      <c r="W10" s="23" t="s">
        <v>3</v>
      </c>
      <c r="X10" s="23" t="s">
        <v>3</v>
      </c>
      <c r="Y10" s="42"/>
      <c r="Z10" s="42"/>
      <c r="AB10" s="24">
        <v>4.4589999999999998E-2</v>
      </c>
      <c r="AE10" s="55">
        <v>0.20499999999999999</v>
      </c>
      <c r="AF10" s="55"/>
      <c r="AG10" s="55">
        <v>0.371</v>
      </c>
      <c r="AH10" s="55"/>
    </row>
    <row r="11" spans="1:35" x14ac:dyDescent="0.35">
      <c r="A11" s="17">
        <v>3</v>
      </c>
      <c r="B11" s="17">
        <v>1</v>
      </c>
      <c r="C11" s="18">
        <v>-7.5862999999999996</v>
      </c>
      <c r="D11" s="18">
        <v>-14.787000000000001</v>
      </c>
      <c r="E11" s="41"/>
      <c r="F11" s="41"/>
      <c r="G11" s="19">
        <v>-20.094999999999999</v>
      </c>
      <c r="H11" s="19">
        <v>-19.204000000000001</v>
      </c>
      <c r="I11" s="41"/>
      <c r="J11" s="41"/>
      <c r="K11" s="20">
        <v>16.332000000000001</v>
      </c>
      <c r="L11" s="20">
        <v>10.337</v>
      </c>
      <c r="M11" s="41"/>
      <c r="N11" s="41"/>
      <c r="O11" s="21">
        <v>-1.7819999999999999E-2</v>
      </c>
      <c r="P11" s="21">
        <v>-1.8020000000000001E-2</v>
      </c>
      <c r="Q11" s="42"/>
      <c r="R11" s="42"/>
      <c r="S11" s="22">
        <v>7.5823999999999998</v>
      </c>
      <c r="T11" s="22">
        <v>8.7235999999999994</v>
      </c>
      <c r="U11" s="42"/>
      <c r="V11" s="42"/>
      <c r="W11" s="23">
        <v>-0.14030000000000001</v>
      </c>
      <c r="X11" s="23">
        <v>-5.6000000000000001E-2</v>
      </c>
      <c r="Y11" s="42"/>
      <c r="Z11" s="42"/>
      <c r="AA11" s="24">
        <f>1.654*10^-3</f>
        <v>1.6539999999999999E-3</v>
      </c>
      <c r="AB11" s="24">
        <v>4.1590000000000002E-2</v>
      </c>
      <c r="AE11" s="54">
        <v>0.16800000000000001</v>
      </c>
      <c r="AF11" s="54">
        <v>0.21299999999999999</v>
      </c>
      <c r="AG11" s="54">
        <v>0.32700000000000001</v>
      </c>
      <c r="AH11" s="54">
        <v>0.34399999999999997</v>
      </c>
    </row>
    <row r="12" spans="1:35" x14ac:dyDescent="0.35">
      <c r="A12" s="17">
        <v>3</v>
      </c>
      <c r="B12" s="17">
        <v>2</v>
      </c>
      <c r="C12" s="18">
        <v>-7.1388999999999996</v>
      </c>
      <c r="D12" s="18">
        <v>-15.637</v>
      </c>
      <c r="E12" s="41"/>
      <c r="F12" s="41"/>
      <c r="G12" s="19">
        <v>-19.151</v>
      </c>
      <c r="H12" s="19">
        <v>-20.053999999999998</v>
      </c>
      <c r="I12" s="41"/>
      <c r="J12" s="41"/>
      <c r="K12" s="20">
        <v>13.808999999999999</v>
      </c>
      <c r="L12" s="20">
        <v>6.9396000000000004</v>
      </c>
      <c r="M12" s="41"/>
      <c r="N12" s="41"/>
      <c r="O12" s="21">
        <v>-2.1190000000000001E-2</v>
      </c>
      <c r="P12" s="21">
        <v>-3.0630000000000001E-2</v>
      </c>
      <c r="Q12" s="42"/>
      <c r="R12" s="42"/>
      <c r="S12" s="22">
        <v>9.3115000000000006</v>
      </c>
      <c r="T12" s="22">
        <v>9.1016999999999992</v>
      </c>
      <c r="U12" s="42"/>
      <c r="V12" s="42"/>
      <c r="W12" s="23" t="s">
        <v>3</v>
      </c>
      <c r="X12" s="23" t="s">
        <v>3</v>
      </c>
      <c r="Y12" s="42"/>
      <c r="Z12" s="42"/>
      <c r="AB12" s="24">
        <f>8.797*10^-3</f>
        <v>8.797000000000001E-3</v>
      </c>
      <c r="AE12" s="55">
        <v>0.25900000000000001</v>
      </c>
      <c r="AF12" s="55"/>
      <c r="AG12" s="55">
        <v>0.36099999999999999</v>
      </c>
      <c r="AH12" s="55"/>
    </row>
    <row r="13" spans="1:35" x14ac:dyDescent="0.35">
      <c r="A13" s="17">
        <v>4</v>
      </c>
      <c r="B13" s="17">
        <v>1</v>
      </c>
      <c r="C13" s="18">
        <v>-8.6396999999999995</v>
      </c>
      <c r="D13" s="18">
        <v>-17.001999999999999</v>
      </c>
      <c r="E13" s="41"/>
      <c r="F13" s="41"/>
      <c r="G13" s="19">
        <v>-21.65</v>
      </c>
      <c r="H13" s="19">
        <v>-22.954999999999998</v>
      </c>
      <c r="I13" s="41"/>
      <c r="J13" s="41"/>
      <c r="K13" s="20">
        <v>11.275</v>
      </c>
      <c r="L13" s="20">
        <v>11.175000000000001</v>
      </c>
      <c r="M13" s="41"/>
      <c r="N13" s="41"/>
      <c r="O13" s="21">
        <v>-2.4250000000000001E-2</v>
      </c>
      <c r="P13" s="21">
        <v>-3.2460000000000003E-2</v>
      </c>
      <c r="Q13" s="42"/>
      <c r="R13" s="42"/>
      <c r="S13" s="22">
        <v>7.8268000000000004</v>
      </c>
      <c r="T13" s="22">
        <v>6.6745999999999999</v>
      </c>
      <c r="U13" s="42"/>
      <c r="V13" s="42"/>
      <c r="W13" s="23">
        <v>-0.2064</v>
      </c>
      <c r="X13" s="23">
        <v>-0.23039999999999999</v>
      </c>
      <c r="Y13" s="42"/>
      <c r="Z13" s="42"/>
      <c r="AA13" s="24">
        <f>1.466*10^-3</f>
        <v>1.4660000000000001E-3</v>
      </c>
      <c r="AB13" s="24">
        <v>5.1339999999999997E-2</v>
      </c>
      <c r="AE13" s="54">
        <v>0.19</v>
      </c>
      <c r="AF13" s="54">
        <v>0.187</v>
      </c>
      <c r="AG13" s="54">
        <v>0.27600000000000002</v>
      </c>
      <c r="AH13" s="54">
        <v>0.28999999999999998</v>
      </c>
    </row>
    <row r="14" spans="1:35" x14ac:dyDescent="0.35">
      <c r="A14" s="17">
        <v>4</v>
      </c>
      <c r="B14" s="17">
        <v>2</v>
      </c>
      <c r="C14" s="18">
        <v>-6.8987999999999996</v>
      </c>
      <c r="D14" s="18">
        <v>-16.22</v>
      </c>
      <c r="E14" s="41"/>
      <c r="F14" s="41"/>
      <c r="G14" s="19">
        <v>-19.283000000000001</v>
      </c>
      <c r="H14" s="19">
        <v>-22.245000000000001</v>
      </c>
      <c r="I14" s="41"/>
      <c r="J14" s="41"/>
      <c r="K14" s="20">
        <v>10.233000000000001</v>
      </c>
      <c r="L14" s="20">
        <v>7.5419999999999998</v>
      </c>
      <c r="M14" s="41"/>
      <c r="N14" s="41"/>
      <c r="O14" s="21">
        <v>-2.504E-2</v>
      </c>
      <c r="P14" s="21">
        <v>-2.332E-2</v>
      </c>
      <c r="Q14" s="42"/>
      <c r="R14" s="42"/>
      <c r="S14" s="22">
        <v>8.3178000000000001</v>
      </c>
      <c r="T14" s="22">
        <v>5.8579999999999997</v>
      </c>
      <c r="U14" s="42"/>
      <c r="V14" s="42"/>
      <c r="W14" s="23" t="s">
        <v>3</v>
      </c>
      <c r="X14" s="23" t="s">
        <v>3</v>
      </c>
      <c r="Y14" s="42"/>
      <c r="Z14" s="42"/>
      <c r="AB14" s="24">
        <v>0.11070000000000001</v>
      </c>
      <c r="AE14" s="55">
        <v>0.185</v>
      </c>
      <c r="AF14" s="55"/>
      <c r="AG14" s="55">
        <v>0.30399999999999999</v>
      </c>
      <c r="AH14" s="55"/>
    </row>
    <row r="15" spans="1:35" x14ac:dyDescent="0.35">
      <c r="A15" s="17">
        <v>5</v>
      </c>
      <c r="B15" s="17">
        <v>1</v>
      </c>
      <c r="C15" s="18">
        <v>-4.5734000000000004</v>
      </c>
      <c r="D15" s="18">
        <v>-15.757999999999999</v>
      </c>
      <c r="E15" s="41"/>
      <c r="F15" s="41"/>
      <c r="G15" s="19">
        <v>-16.373999999999999</v>
      </c>
      <c r="H15" s="19">
        <v>-20.145</v>
      </c>
      <c r="I15" s="41"/>
      <c r="J15" s="41"/>
      <c r="K15" s="20">
        <v>9.8705999999999996</v>
      </c>
      <c r="L15" s="20">
        <v>12.238</v>
      </c>
      <c r="M15" s="41"/>
      <c r="N15" s="41"/>
      <c r="O15" s="21">
        <v>-1.8350000000000002E-2</v>
      </c>
      <c r="P15" s="21">
        <v>-1.7520000000000001E-2</v>
      </c>
      <c r="Q15" s="42"/>
      <c r="R15" s="42"/>
      <c r="S15" s="22">
        <v>9.4824999999999999</v>
      </c>
      <c r="T15" s="22">
        <v>6.3398000000000003</v>
      </c>
      <c r="U15" s="42"/>
      <c r="V15" s="42"/>
      <c r="W15" s="23">
        <v>-0.15329999999999999</v>
      </c>
      <c r="X15" s="23">
        <v>-6.4000000000000001E-2</v>
      </c>
      <c r="Y15" s="42"/>
      <c r="Z15" s="42"/>
      <c r="AA15" s="24">
        <f>3.158*10^-3</f>
        <v>3.1579999999999998E-3</v>
      </c>
      <c r="AB15" s="24">
        <v>1.9099999999999999E-2</v>
      </c>
      <c r="AE15" s="54">
        <v>0.11899999999999999</v>
      </c>
      <c r="AF15" s="54">
        <v>0.13800000000000001</v>
      </c>
      <c r="AG15" s="54">
        <v>0.28699999999999998</v>
      </c>
      <c r="AH15" s="54">
        <v>0.29899999999999999</v>
      </c>
    </row>
    <row r="16" spans="1:35" x14ac:dyDescent="0.35">
      <c r="A16" s="17">
        <v>5</v>
      </c>
      <c r="B16" s="17">
        <v>2</v>
      </c>
      <c r="C16" s="18">
        <v>-5.0147000000000004</v>
      </c>
      <c r="D16" s="18">
        <v>-16.954999999999998</v>
      </c>
      <c r="E16" s="41"/>
      <c r="F16" s="41"/>
      <c r="G16" s="19">
        <v>-12.872</v>
      </c>
      <c r="H16" s="19">
        <v>-20.114999999999998</v>
      </c>
      <c r="I16" s="41"/>
      <c r="J16" s="41"/>
      <c r="K16" s="20">
        <v>9.2181999999999995</v>
      </c>
      <c r="L16" s="20">
        <v>7.3102999999999998</v>
      </c>
      <c r="M16" s="41"/>
      <c r="N16" s="41"/>
      <c r="O16" s="21">
        <v>-1.9359999999999999E-2</v>
      </c>
      <c r="P16" s="21">
        <v>-1.332E-2</v>
      </c>
      <c r="Q16" s="42"/>
      <c r="R16" s="42"/>
      <c r="S16" s="22">
        <v>10.494999999999999</v>
      </c>
      <c r="T16" s="22">
        <v>6.4615</v>
      </c>
      <c r="U16" s="42"/>
      <c r="V16" s="42"/>
      <c r="W16" s="23" t="s">
        <v>3</v>
      </c>
      <c r="X16" s="23" t="s">
        <v>3</v>
      </c>
      <c r="Y16" s="42"/>
      <c r="Z16" s="42"/>
      <c r="AB16" s="24">
        <v>1.2630000000000001E-2</v>
      </c>
      <c r="AE16" s="55">
        <v>0.158</v>
      </c>
      <c r="AF16" s="55"/>
      <c r="AG16" s="55">
        <v>0.311</v>
      </c>
      <c r="AH16" s="55"/>
      <c r="AI16" s="5"/>
    </row>
    <row r="17" spans="1:35" x14ac:dyDescent="0.35">
      <c r="A17" s="17">
        <v>6</v>
      </c>
      <c r="B17" s="17">
        <v>1</v>
      </c>
      <c r="C17" s="18">
        <v>-9.3070000000000004</v>
      </c>
      <c r="D17" s="18">
        <v>-16.459</v>
      </c>
      <c r="E17" s="41"/>
      <c r="F17" s="41"/>
      <c r="G17" s="19">
        <v>-17.783999999999999</v>
      </c>
      <c r="H17" s="19">
        <v>-23.922999999999998</v>
      </c>
      <c r="I17" s="41"/>
      <c r="J17" s="41"/>
      <c r="K17" s="20">
        <v>20.065000000000001</v>
      </c>
      <c r="L17" s="20">
        <v>12.693</v>
      </c>
      <c r="M17" s="41"/>
      <c r="N17" s="41"/>
      <c r="O17" s="21">
        <v>-2.2679999999999999E-2</v>
      </c>
      <c r="P17" s="21">
        <v>-5.1999999999999998E-2</v>
      </c>
      <c r="Q17" s="42"/>
      <c r="R17" s="42"/>
      <c r="S17" s="22">
        <v>8.1656999999999993</v>
      </c>
      <c r="T17" s="22">
        <v>6.9484000000000004</v>
      </c>
      <c r="U17" s="42"/>
      <c r="V17" s="42"/>
      <c r="W17" s="23">
        <v>-9.0139999999999998E-2</v>
      </c>
      <c r="X17" s="23">
        <v>-7.3249999999999996E-2</v>
      </c>
      <c r="Y17" s="42"/>
      <c r="Z17" s="42"/>
      <c r="AA17" s="24">
        <f>1.624*10^-3</f>
        <v>1.6240000000000002E-3</v>
      </c>
      <c r="AB17" s="24">
        <v>7.3260000000000006E-2</v>
      </c>
      <c r="AE17" s="54">
        <v>0.18099999999999999</v>
      </c>
      <c r="AF17" s="54">
        <v>0.187</v>
      </c>
      <c r="AG17" s="54">
        <v>0.28899999999999998</v>
      </c>
      <c r="AH17" s="54">
        <v>0.314</v>
      </c>
      <c r="AI17" s="5"/>
    </row>
    <row r="18" spans="1:35" x14ac:dyDescent="0.35">
      <c r="A18" s="17">
        <v>6</v>
      </c>
      <c r="B18" s="17">
        <v>2</v>
      </c>
      <c r="C18" s="18">
        <v>-9.2308000000000003</v>
      </c>
      <c r="D18" s="18">
        <v>-16.425000000000001</v>
      </c>
      <c r="E18" s="41"/>
      <c r="F18" s="41"/>
      <c r="G18" s="19">
        <v>-14.276999999999999</v>
      </c>
      <c r="H18" s="19">
        <v>-24.222999999999999</v>
      </c>
      <c r="I18" s="41"/>
      <c r="J18" s="41"/>
      <c r="K18" s="20">
        <v>19.681999999999999</v>
      </c>
      <c r="L18" s="20">
        <v>6.6574</v>
      </c>
      <c r="M18" s="41"/>
      <c r="N18" s="41"/>
      <c r="O18" s="21">
        <v>-2.3519999999999999E-2</v>
      </c>
      <c r="P18" s="21">
        <v>-3.0620000000000001E-2</v>
      </c>
      <c r="Q18" s="42"/>
      <c r="R18" s="42"/>
      <c r="S18" s="22">
        <v>8.8960000000000008</v>
      </c>
      <c r="T18" s="22">
        <v>5.9238999999999997</v>
      </c>
      <c r="U18" s="42"/>
      <c r="V18" s="42"/>
      <c r="W18" s="23" t="s">
        <v>3</v>
      </c>
      <c r="X18" s="23" t="s">
        <v>3</v>
      </c>
      <c r="Y18" s="42"/>
      <c r="Z18" s="42"/>
      <c r="AB18" s="24">
        <v>6.6320000000000004E-2</v>
      </c>
      <c r="AE18" s="55">
        <v>0.193</v>
      </c>
      <c r="AF18" s="55"/>
      <c r="AG18" s="55">
        <v>0.34</v>
      </c>
      <c r="AH18" s="55"/>
    </row>
    <row r="19" spans="1:35" x14ac:dyDescent="0.35">
      <c r="A19" s="17">
        <v>7</v>
      </c>
      <c r="B19" s="17">
        <v>1</v>
      </c>
      <c r="C19" s="18">
        <v>-8.8651</v>
      </c>
      <c r="D19" s="18">
        <v>-13.763</v>
      </c>
      <c r="E19" s="41"/>
      <c r="F19" s="41"/>
      <c r="G19" s="19">
        <v>-19.931999999999999</v>
      </c>
      <c r="H19" s="19">
        <v>-24.558</v>
      </c>
      <c r="I19" s="41"/>
      <c r="J19" s="41"/>
      <c r="K19" s="20">
        <v>22.001000000000001</v>
      </c>
      <c r="L19" s="20">
        <v>10.516</v>
      </c>
      <c r="M19" s="41"/>
      <c r="N19" s="41"/>
      <c r="O19" s="21">
        <v>-2.6700000000000002E-2</v>
      </c>
      <c r="P19" s="21">
        <v>-1.5310000000000001E-2</v>
      </c>
      <c r="Q19" s="42"/>
      <c r="R19" s="42"/>
      <c r="S19" s="22">
        <v>7.8268000000000004</v>
      </c>
      <c r="T19" s="22">
        <v>6.5021000000000004</v>
      </c>
      <c r="U19" s="42"/>
      <c r="V19" s="42"/>
      <c r="W19" s="23">
        <v>-0.16270000000000001</v>
      </c>
      <c r="X19" s="23">
        <v>-6.0970000000000003E-2</v>
      </c>
      <c r="Y19" s="42"/>
      <c r="Z19" s="42"/>
      <c r="AA19" s="24">
        <f>3.158*10^-4</f>
        <v>3.1580000000000003E-4</v>
      </c>
      <c r="AB19" s="24">
        <v>9.3160000000000007E-2</v>
      </c>
      <c r="AE19" s="54">
        <v>0.21299999999999999</v>
      </c>
      <c r="AF19" s="54">
        <v>0.217</v>
      </c>
      <c r="AG19" s="54">
        <v>0.27</v>
      </c>
      <c r="AH19" s="54">
        <v>0.28100000000000003</v>
      </c>
    </row>
    <row r="20" spans="1:35" x14ac:dyDescent="0.35">
      <c r="A20" s="17">
        <v>7</v>
      </c>
      <c r="B20" s="17">
        <v>2</v>
      </c>
      <c r="C20" s="18">
        <v>-6.6302000000000003</v>
      </c>
      <c r="D20" s="18">
        <v>-15.99</v>
      </c>
      <c r="E20" s="41"/>
      <c r="F20" s="41"/>
      <c r="G20" s="19">
        <v>-18.776</v>
      </c>
      <c r="H20" s="19">
        <v>-25.548999999999999</v>
      </c>
      <c r="I20" s="41"/>
      <c r="J20" s="41"/>
      <c r="K20" s="20">
        <v>21.100999999999999</v>
      </c>
      <c r="L20" s="20">
        <v>7.5441000000000003</v>
      </c>
      <c r="M20" s="41"/>
      <c r="N20" s="41"/>
      <c r="O20" s="21">
        <v>-2.6509999999999999E-2</v>
      </c>
      <c r="P20" s="21">
        <v>-3.56E-2</v>
      </c>
      <c r="Q20" s="42"/>
      <c r="R20" s="42"/>
      <c r="S20" s="22">
        <v>8.2657000000000007</v>
      </c>
      <c r="T20" s="22">
        <v>7.2781000000000002</v>
      </c>
      <c r="U20" s="42"/>
      <c r="V20" s="42"/>
      <c r="W20" s="23" t="s">
        <v>3</v>
      </c>
      <c r="X20" s="23" t="s">
        <v>3</v>
      </c>
      <c r="Y20" s="42"/>
      <c r="Z20" s="42"/>
      <c r="AB20" s="24">
        <v>1.259E-2</v>
      </c>
      <c r="AE20" s="55">
        <v>0.221</v>
      </c>
      <c r="AF20" s="55"/>
      <c r="AG20" s="55">
        <v>0.29299999999999998</v>
      </c>
      <c r="AH20" s="55"/>
    </row>
    <row r="21" spans="1:35" x14ac:dyDescent="0.35">
      <c r="A21" s="17">
        <v>8</v>
      </c>
      <c r="B21" s="17">
        <v>1</v>
      </c>
      <c r="C21" s="18">
        <v>-14.396000000000001</v>
      </c>
      <c r="D21" s="18">
        <v>-11.742000000000001</v>
      </c>
      <c r="E21" s="41"/>
      <c r="F21" s="41"/>
      <c r="G21" s="19">
        <v>-27.805</v>
      </c>
      <c r="H21" s="19">
        <v>-20.885999999999999</v>
      </c>
      <c r="I21" s="41"/>
      <c r="J21" s="41"/>
      <c r="K21" s="20">
        <v>18.489999999999998</v>
      </c>
      <c r="L21" s="20">
        <v>4.9191000000000003</v>
      </c>
      <c r="M21" s="41"/>
      <c r="N21" s="41"/>
      <c r="O21" s="21">
        <v>-3.5520000000000003E-2</v>
      </c>
      <c r="P21" s="21">
        <v>-3.2399999999999998E-2</v>
      </c>
      <c r="Q21" s="42"/>
      <c r="R21" s="42"/>
      <c r="S21" s="22">
        <v>7.7138</v>
      </c>
      <c r="T21" s="22">
        <v>6.4108000000000001</v>
      </c>
      <c r="U21" s="42"/>
      <c r="V21" s="42"/>
      <c r="W21" s="23">
        <v>-0.23200000000000001</v>
      </c>
      <c r="X21" s="23">
        <v>-8.5199999999999998E-2</v>
      </c>
      <c r="Y21" s="42"/>
      <c r="Z21" s="42"/>
      <c r="AA21" s="24">
        <f>9.109*10^-4</f>
        <v>9.1090000000000008E-4</v>
      </c>
      <c r="AB21" s="24">
        <v>5.7049999999999997E-2</v>
      </c>
      <c r="AE21" s="54">
        <v>0.24</v>
      </c>
      <c r="AF21" s="54">
        <v>0.25600000000000001</v>
      </c>
      <c r="AG21" s="54">
        <v>0.312</v>
      </c>
      <c r="AH21" s="54">
        <v>0.32600000000000001</v>
      </c>
    </row>
    <row r="22" spans="1:35" x14ac:dyDescent="0.35">
      <c r="A22" s="17">
        <v>8</v>
      </c>
      <c r="B22" s="17">
        <v>2</v>
      </c>
      <c r="C22" s="18">
        <v>-12.738</v>
      </c>
      <c r="D22" s="18">
        <v>-10.957000000000001</v>
      </c>
      <c r="E22" s="41"/>
      <c r="F22" s="41"/>
      <c r="G22" s="19">
        <v>-23.806999999999999</v>
      </c>
      <c r="H22" s="19">
        <v>-21.312000000000001</v>
      </c>
      <c r="I22" s="41"/>
      <c r="J22" s="41"/>
      <c r="K22" s="20">
        <v>20.093</v>
      </c>
      <c r="L22" s="20">
        <v>4.0820999999999996</v>
      </c>
      <c r="M22" s="41"/>
      <c r="N22" s="41"/>
      <c r="O22" s="21">
        <v>-3.7819999999999999E-2</v>
      </c>
      <c r="P22" s="21">
        <v>-5.1200000000000002E-2</v>
      </c>
      <c r="Q22" s="42"/>
      <c r="R22" s="42"/>
      <c r="S22" s="22">
        <v>8.6013999999999999</v>
      </c>
      <c r="T22" s="22">
        <v>10.714</v>
      </c>
      <c r="U22" s="42"/>
      <c r="V22" s="42"/>
      <c r="W22" s="23" t="s">
        <v>3</v>
      </c>
      <c r="X22" s="23" t="s">
        <v>3</v>
      </c>
      <c r="Y22" s="42"/>
      <c r="Z22" s="42"/>
      <c r="AB22" s="24">
        <v>4.1050000000000003E-2</v>
      </c>
      <c r="AE22" s="55">
        <v>0.27300000000000002</v>
      </c>
      <c r="AF22" s="55"/>
      <c r="AG22" s="55">
        <v>0.34</v>
      </c>
      <c r="AH22" s="55"/>
    </row>
    <row r="23" spans="1:35" x14ac:dyDescent="0.35">
      <c r="A23" s="17">
        <v>9</v>
      </c>
      <c r="B23" s="17">
        <v>1</v>
      </c>
      <c r="C23" s="18">
        <v>-5.7976000000000001</v>
      </c>
      <c r="D23" s="18">
        <v>-23.971</v>
      </c>
      <c r="E23" s="41"/>
      <c r="F23" s="41"/>
      <c r="G23" s="19">
        <v>-19.606999999999999</v>
      </c>
      <c r="H23" s="19">
        <v>-20.135000000000002</v>
      </c>
      <c r="I23" s="41"/>
      <c r="J23" s="41"/>
      <c r="K23" s="20">
        <v>17.126999999999999</v>
      </c>
      <c r="L23" s="20">
        <v>16.204000000000001</v>
      </c>
      <c r="M23" s="41"/>
      <c r="N23" s="41"/>
      <c r="O23" s="21">
        <v>-3.1379999999999998E-2</v>
      </c>
      <c r="P23" s="21">
        <v>-1.736E-2</v>
      </c>
      <c r="Q23" s="42"/>
      <c r="R23" s="42"/>
      <c r="S23" s="22">
        <v>8.4445999999999994</v>
      </c>
      <c r="T23" s="22">
        <v>8.0838999999999999</v>
      </c>
      <c r="U23" s="42"/>
      <c r="V23" s="42"/>
      <c r="W23" s="23">
        <v>-8.5519999999999999E-2</v>
      </c>
      <c r="X23" s="23">
        <v>-0.1143</v>
      </c>
      <c r="Y23" s="42"/>
      <c r="Z23" s="42"/>
      <c r="AA23" s="24">
        <f>6.767*10^-3</f>
        <v>6.7670000000000004E-3</v>
      </c>
      <c r="AB23" s="24">
        <v>1.8950000000000002E-2</v>
      </c>
      <c r="AE23" s="54">
        <v>0.11799999999999999</v>
      </c>
      <c r="AF23" s="54">
        <v>0.11899999999999999</v>
      </c>
      <c r="AG23" s="54">
        <v>0.318</v>
      </c>
      <c r="AH23" s="54">
        <v>0.34300000000000003</v>
      </c>
    </row>
    <row r="24" spans="1:35" x14ac:dyDescent="0.35">
      <c r="A24" s="17">
        <v>9</v>
      </c>
      <c r="B24" s="17">
        <v>2</v>
      </c>
      <c r="C24" s="18">
        <v>-9.3765000000000001</v>
      </c>
      <c r="D24" s="18">
        <v>-28.225000000000001</v>
      </c>
      <c r="E24" s="41"/>
      <c r="F24" s="41"/>
      <c r="G24" s="19">
        <v>-21.027999999999999</v>
      </c>
      <c r="H24" s="19">
        <v>-19.75</v>
      </c>
      <c r="I24" s="41"/>
      <c r="J24" s="41"/>
      <c r="K24" s="20">
        <v>14.159000000000001</v>
      </c>
      <c r="L24" s="20">
        <v>12.19</v>
      </c>
      <c r="M24" s="41"/>
      <c r="N24" s="41"/>
      <c r="O24" s="21">
        <v>-2.674E-2</v>
      </c>
      <c r="P24" s="21">
        <v>-2.112E-2</v>
      </c>
      <c r="Q24" s="42"/>
      <c r="R24" s="42"/>
      <c r="S24" s="22">
        <v>7.8268000000000004</v>
      </c>
      <c r="T24" s="22">
        <v>7.0909000000000004</v>
      </c>
      <c r="U24" s="42"/>
      <c r="V24" s="42"/>
      <c r="W24" s="23" t="s">
        <v>3</v>
      </c>
      <c r="X24" s="23" t="s">
        <v>3</v>
      </c>
      <c r="Y24" s="42"/>
      <c r="Z24" s="42"/>
      <c r="AB24" s="24"/>
      <c r="AE24" s="55">
        <v>0.12</v>
      </c>
      <c r="AF24" s="55"/>
      <c r="AG24" s="55">
        <v>0.36799999999999999</v>
      </c>
      <c r="AH24" s="55"/>
    </row>
    <row r="25" spans="1:35" x14ac:dyDescent="0.35">
      <c r="A25" s="17">
        <v>10</v>
      </c>
      <c r="B25" s="17">
        <v>1</v>
      </c>
      <c r="C25" s="18">
        <v>-6.0762999999999998</v>
      </c>
      <c r="D25" s="18">
        <v>-18.795000000000002</v>
      </c>
      <c r="E25" s="41"/>
      <c r="F25" s="41"/>
      <c r="G25" s="19">
        <v>-18.207999999999998</v>
      </c>
      <c r="H25" s="19">
        <v>-21.146999999999998</v>
      </c>
      <c r="I25" s="41"/>
      <c r="J25" s="41"/>
      <c r="K25" s="20">
        <v>10.773999999999999</v>
      </c>
      <c r="L25" s="20">
        <v>16.899000000000001</v>
      </c>
      <c r="M25" s="41"/>
      <c r="N25" s="41"/>
      <c r="O25" s="21">
        <v>-3.2910000000000002E-2</v>
      </c>
      <c r="P25" s="21">
        <v>-1.477E-2</v>
      </c>
      <c r="Q25" s="42"/>
      <c r="R25" s="42"/>
      <c r="S25" s="22">
        <v>9.2814999999999994</v>
      </c>
      <c r="T25" s="22">
        <v>8.8352000000000004</v>
      </c>
      <c r="U25" s="42"/>
      <c r="V25" s="42"/>
      <c r="W25" s="23">
        <v>-0.1236</v>
      </c>
      <c r="X25" s="23">
        <v>-0.1229</v>
      </c>
      <c r="Y25" s="42"/>
      <c r="Z25" s="42"/>
      <c r="AA25" s="24">
        <v>1.389E-2</v>
      </c>
      <c r="AB25" s="24">
        <v>1.669E-2</v>
      </c>
      <c r="AE25" s="54">
        <v>0.214</v>
      </c>
      <c r="AF25" s="54">
        <v>0.22500000000000001</v>
      </c>
      <c r="AG25" s="54">
        <v>0.28699999999999998</v>
      </c>
      <c r="AH25" s="54">
        <v>0.30199999999999999</v>
      </c>
    </row>
    <row r="26" spans="1:35" x14ac:dyDescent="0.35">
      <c r="A26" s="17">
        <v>10</v>
      </c>
      <c r="B26" s="17">
        <v>2</v>
      </c>
      <c r="C26" s="18">
        <v>-6.5491999999999999</v>
      </c>
      <c r="D26" s="18">
        <v>-17.861999999999998</v>
      </c>
      <c r="E26" s="41"/>
      <c r="F26" s="41"/>
      <c r="G26" s="19">
        <v>-18.582999999999998</v>
      </c>
      <c r="H26" s="19">
        <v>-21.754000000000001</v>
      </c>
      <c r="I26" s="41"/>
      <c r="J26" s="41"/>
      <c r="K26" s="20">
        <v>10.864000000000001</v>
      </c>
      <c r="L26" s="20">
        <v>11.564</v>
      </c>
      <c r="M26" s="41"/>
      <c r="N26" s="41"/>
      <c r="O26" s="21">
        <v>-3.8620000000000002E-2</v>
      </c>
      <c r="P26" s="21">
        <v>-1.367E-2</v>
      </c>
      <c r="Q26" s="42"/>
      <c r="R26" s="42"/>
      <c r="S26" s="22">
        <v>8.3989999999999991</v>
      </c>
      <c r="T26" s="22">
        <v>10.098000000000001</v>
      </c>
      <c r="U26" s="42"/>
      <c r="V26" s="42"/>
      <c r="W26" s="23" t="s">
        <v>3</v>
      </c>
      <c r="X26" s="23" t="s">
        <v>3</v>
      </c>
      <c r="Y26" s="42"/>
      <c r="Z26" s="42"/>
      <c r="AB26" s="24"/>
      <c r="AE26" s="55">
        <v>0.23599999999999999</v>
      </c>
      <c r="AF26" s="55"/>
      <c r="AG26" s="55">
        <v>0.317</v>
      </c>
      <c r="AH26" s="55"/>
    </row>
    <row r="27" spans="1:35" x14ac:dyDescent="0.35">
      <c r="A27" s="17">
        <v>11</v>
      </c>
      <c r="B27" s="17">
        <v>1</v>
      </c>
      <c r="C27" s="18">
        <v>-12.67</v>
      </c>
      <c r="D27" s="18">
        <v>-17.329999999999998</v>
      </c>
      <c r="E27" s="41"/>
      <c r="F27" s="41"/>
      <c r="G27" s="19">
        <v>-22.407</v>
      </c>
      <c r="H27" s="19">
        <v>-22.882999999999999</v>
      </c>
      <c r="I27" s="41"/>
      <c r="J27" s="41"/>
      <c r="K27" s="20">
        <v>20.254999999999999</v>
      </c>
      <c r="L27" s="20">
        <v>26.14</v>
      </c>
      <c r="M27" s="41"/>
      <c r="N27" s="41"/>
      <c r="O27" s="21">
        <v>-3.2199999999999999E-2</v>
      </c>
      <c r="P27" s="21">
        <v>-2.0070000000000001E-2</v>
      </c>
      <c r="Q27" s="42"/>
      <c r="R27" s="42"/>
      <c r="S27" s="22">
        <v>8.4700000000000006</v>
      </c>
      <c r="T27" s="22">
        <v>6.6136999999999997</v>
      </c>
      <c r="U27" s="42"/>
      <c r="V27" s="42"/>
      <c r="W27" s="23">
        <v>-0.1764</v>
      </c>
      <c r="X27" s="23">
        <v>-0.10050000000000001</v>
      </c>
      <c r="Y27" s="42"/>
      <c r="Z27" s="42"/>
      <c r="AA27" s="24">
        <f>7.474*10^-3</f>
        <v>7.4740000000000006E-3</v>
      </c>
      <c r="AB27" s="24">
        <v>1.5900000000000001E-2</v>
      </c>
      <c r="AE27" s="54">
        <v>0.156</v>
      </c>
      <c r="AF27" s="54">
        <v>0.155</v>
      </c>
      <c r="AG27" s="54">
        <v>0.28000000000000003</v>
      </c>
      <c r="AH27" s="54">
        <v>0.29199999999999998</v>
      </c>
    </row>
    <row r="28" spans="1:35" x14ac:dyDescent="0.35">
      <c r="A28" s="17">
        <v>11</v>
      </c>
      <c r="B28" s="17">
        <v>2</v>
      </c>
      <c r="C28" s="18">
        <v>-14.036</v>
      </c>
      <c r="D28" s="18">
        <v>-19.038</v>
      </c>
      <c r="E28" s="41"/>
      <c r="F28" s="41"/>
      <c r="G28" s="19">
        <v>-24.213000000000001</v>
      </c>
      <c r="H28" s="19">
        <v>-24.294</v>
      </c>
      <c r="I28" s="41"/>
      <c r="J28" s="41"/>
      <c r="K28" s="20">
        <v>19.609000000000002</v>
      </c>
      <c r="L28" s="20">
        <v>16.565999999999999</v>
      </c>
      <c r="M28" s="41"/>
      <c r="N28" s="41"/>
      <c r="O28" s="21">
        <v>-2.7799999999999998E-2</v>
      </c>
      <c r="P28" s="21">
        <v>-3.1600000000000003E-2</v>
      </c>
      <c r="Q28" s="42"/>
      <c r="R28" s="42"/>
      <c r="S28" s="22">
        <v>8.6220999999999997</v>
      </c>
      <c r="T28" s="22">
        <v>7.0499000000000001</v>
      </c>
      <c r="U28" s="42"/>
      <c r="V28" s="42"/>
      <c r="W28" s="23" t="s">
        <v>3</v>
      </c>
      <c r="X28" s="23" t="s">
        <v>3</v>
      </c>
      <c r="Y28" s="42"/>
      <c r="Z28" s="42"/>
      <c r="AB28" s="24"/>
      <c r="AE28" s="55">
        <v>0.153</v>
      </c>
      <c r="AF28" s="55"/>
      <c r="AG28" s="55">
        <v>0.30399999999999999</v>
      </c>
      <c r="AH28" s="55"/>
    </row>
    <row r="29" spans="1:35" x14ac:dyDescent="0.35">
      <c r="A29" s="17">
        <v>12</v>
      </c>
      <c r="B29" s="17">
        <v>1</v>
      </c>
      <c r="C29" s="18">
        <v>-13.846</v>
      </c>
      <c r="D29" s="18">
        <v>-17.43</v>
      </c>
      <c r="E29" s="41"/>
      <c r="F29" s="41"/>
      <c r="G29" s="19">
        <v>-19.872</v>
      </c>
      <c r="H29" s="19">
        <v>-25.417000000000002</v>
      </c>
      <c r="I29" s="41"/>
      <c r="J29" s="41"/>
      <c r="K29" s="20">
        <v>16.116</v>
      </c>
      <c r="L29" s="20">
        <v>10.615</v>
      </c>
      <c r="M29" s="41"/>
      <c r="N29" s="41"/>
      <c r="O29" s="21">
        <v>-2.6669999999999999E-2</v>
      </c>
      <c r="P29" s="21">
        <v>-2.622E-2</v>
      </c>
      <c r="Q29" s="42"/>
      <c r="R29" s="42"/>
      <c r="S29" s="22">
        <v>8.7272999999999996</v>
      </c>
      <c r="T29" s="22">
        <v>6.6440999999999999</v>
      </c>
      <c r="U29" s="42"/>
      <c r="V29" s="42"/>
      <c r="W29" s="23">
        <v>-9.2399999999999996E-2</v>
      </c>
      <c r="X29" s="23">
        <v>-7.3380000000000001E-2</v>
      </c>
      <c r="Y29" s="42"/>
      <c r="Z29" s="42"/>
      <c r="AA29" s="24">
        <v>1.7999999999999999E-2</v>
      </c>
      <c r="AB29" s="24">
        <f>5.728*10^-3</f>
        <v>5.7279999999999996E-3</v>
      </c>
      <c r="AE29" s="54">
        <v>0.122</v>
      </c>
      <c r="AF29" s="54">
        <v>0.13300000000000001</v>
      </c>
      <c r="AG29" s="54">
        <v>0.36299999999999999</v>
      </c>
      <c r="AH29" s="54">
        <v>0.376</v>
      </c>
    </row>
    <row r="30" spans="1:35" x14ac:dyDescent="0.35">
      <c r="A30" s="17">
        <v>12</v>
      </c>
      <c r="B30" s="17">
        <v>2</v>
      </c>
      <c r="C30" s="18">
        <v>-15.499000000000001</v>
      </c>
      <c r="D30" s="18">
        <v>-18.661999999999999</v>
      </c>
      <c r="E30" s="41"/>
      <c r="F30" s="41"/>
      <c r="G30" s="19">
        <v>-20.308</v>
      </c>
      <c r="H30" s="19">
        <v>-26.495000000000001</v>
      </c>
      <c r="I30" s="41"/>
      <c r="J30" s="41"/>
      <c r="K30" s="20">
        <v>16.085000000000001</v>
      </c>
      <c r="L30" s="20">
        <v>7.1515000000000004</v>
      </c>
      <c r="M30" s="41"/>
      <c r="N30" s="41"/>
      <c r="O30" s="21">
        <v>-3.3189999999999997E-2</v>
      </c>
      <c r="P30" s="21">
        <v>-2.6839999999999999E-2</v>
      </c>
      <c r="Q30" s="42"/>
      <c r="R30" s="42"/>
      <c r="S30" s="22">
        <v>9.5534999999999997</v>
      </c>
      <c r="T30" s="22">
        <v>7.0038</v>
      </c>
      <c r="U30" s="42"/>
      <c r="V30" s="42"/>
      <c r="W30" s="23" t="s">
        <v>3</v>
      </c>
      <c r="X30" s="23" t="s">
        <v>3</v>
      </c>
      <c r="Y30" s="42"/>
      <c r="Z30" s="42"/>
      <c r="AB30" s="24">
        <v>2.0379999999999999E-2</v>
      </c>
      <c r="AE30" s="55">
        <v>0.14299999999999999</v>
      </c>
      <c r="AF30" s="55"/>
      <c r="AG30" s="55">
        <v>0.39</v>
      </c>
      <c r="AH30" s="55"/>
    </row>
    <row r="31" spans="1:35" x14ac:dyDescent="0.35">
      <c r="A31" s="17">
        <v>13</v>
      </c>
      <c r="B31" s="17">
        <v>1</v>
      </c>
      <c r="C31" s="18">
        <v>-14.518000000000001</v>
      </c>
      <c r="D31" s="18">
        <v>-17.443000000000001</v>
      </c>
      <c r="E31" s="41"/>
      <c r="F31" s="41"/>
      <c r="G31" s="19">
        <v>-20.855</v>
      </c>
      <c r="H31" s="19">
        <v>-23.370999999999999</v>
      </c>
      <c r="I31" s="41"/>
      <c r="J31" s="41"/>
      <c r="K31" s="20">
        <v>18.818000000000001</v>
      </c>
      <c r="L31" s="20">
        <v>21.715</v>
      </c>
      <c r="M31" s="41"/>
      <c r="N31" s="41"/>
      <c r="O31" s="21">
        <v>-2.724E-2</v>
      </c>
      <c r="P31" s="21">
        <v>-4.9140000000000003E-2</v>
      </c>
      <c r="Q31" s="42"/>
      <c r="R31" s="42"/>
      <c r="S31" s="22">
        <v>8.7143999999999995</v>
      </c>
      <c r="T31" s="22">
        <v>7.2222999999999997</v>
      </c>
      <c r="U31" s="42"/>
      <c r="V31" s="42"/>
      <c r="W31" s="23">
        <v>-0.33679999999999999</v>
      </c>
      <c r="X31" s="23">
        <v>-0.1067</v>
      </c>
      <c r="Y31" s="42"/>
      <c r="Z31" s="42"/>
      <c r="AA31" s="24">
        <f>6.947*10^-3</f>
        <v>6.9470000000000001E-3</v>
      </c>
      <c r="AB31" s="24">
        <f>2.314*10^-3</f>
        <v>2.3140000000000001E-3</v>
      </c>
      <c r="AE31" s="54">
        <v>0.13600000000000001</v>
      </c>
      <c r="AF31" s="54">
        <v>0.18</v>
      </c>
      <c r="AG31" s="54">
        <v>0.33300000000000002</v>
      </c>
      <c r="AH31" s="54">
        <v>0.35099999999999998</v>
      </c>
    </row>
    <row r="32" spans="1:35" x14ac:dyDescent="0.35">
      <c r="A32" s="17">
        <v>13</v>
      </c>
      <c r="B32" s="17">
        <v>2</v>
      </c>
      <c r="C32" s="18">
        <v>-15.441000000000001</v>
      </c>
      <c r="D32" s="18">
        <v>-17.309000000000001</v>
      </c>
      <c r="E32" s="41"/>
      <c r="F32" s="41"/>
      <c r="G32" s="19">
        <v>-19.414999999999999</v>
      </c>
      <c r="H32" s="19">
        <v>-26.942</v>
      </c>
      <c r="I32" s="41"/>
      <c r="J32" s="41"/>
      <c r="K32" s="20">
        <v>20.696000000000002</v>
      </c>
      <c r="L32" s="20">
        <v>14.478999999999999</v>
      </c>
      <c r="M32" s="41"/>
      <c r="N32" s="41"/>
      <c r="O32" s="21">
        <v>-2.8320000000000001E-2</v>
      </c>
      <c r="P32" s="21">
        <v>-1.519E-2</v>
      </c>
      <c r="Q32" s="42"/>
      <c r="R32" s="42"/>
      <c r="S32" s="22">
        <v>8.4396000000000004</v>
      </c>
      <c r="T32" s="22">
        <v>7.2933000000000003</v>
      </c>
      <c r="U32" s="42"/>
      <c r="V32" s="42"/>
      <c r="W32" s="23" t="s">
        <v>3</v>
      </c>
      <c r="X32" s="23" t="s">
        <v>3</v>
      </c>
      <c r="Y32" s="42"/>
      <c r="Z32" s="42"/>
      <c r="AB32" s="24">
        <v>1.094E-2</v>
      </c>
      <c r="AE32" s="55">
        <v>0.223</v>
      </c>
      <c r="AF32" s="55"/>
      <c r="AG32" s="55">
        <v>0.37</v>
      </c>
      <c r="AH32" s="55"/>
    </row>
    <row r="33" spans="1:34" x14ac:dyDescent="0.35">
      <c r="A33" s="17">
        <v>14</v>
      </c>
      <c r="B33" s="17">
        <v>1</v>
      </c>
      <c r="C33" s="18">
        <v>-9.2308000000000003</v>
      </c>
      <c r="D33" s="18">
        <v>-17.93</v>
      </c>
      <c r="E33" s="41"/>
      <c r="F33" s="41"/>
      <c r="G33" s="19">
        <v>-17.335999999999999</v>
      </c>
      <c r="H33" s="19">
        <v>-23.029</v>
      </c>
      <c r="I33" s="41"/>
      <c r="J33" s="41"/>
      <c r="K33" s="20">
        <v>8.9475999999999996</v>
      </c>
      <c r="L33" s="20">
        <v>8.4856999999999996</v>
      </c>
      <c r="M33" s="41"/>
      <c r="N33" s="41"/>
      <c r="O33" s="21">
        <v>-2.5579999999999999E-2</v>
      </c>
      <c r="P33" s="21">
        <v>-7.5200000000000003E-2</v>
      </c>
      <c r="Q33" s="42"/>
      <c r="R33" s="42"/>
      <c r="S33" s="22">
        <v>10.406000000000001</v>
      </c>
      <c r="T33" s="22">
        <v>7.1106999999999996</v>
      </c>
      <c r="U33" s="42"/>
      <c r="V33" s="42"/>
      <c r="W33" s="23">
        <v>-0.12470000000000001</v>
      </c>
      <c r="X33" s="23">
        <v>-0.12230000000000001</v>
      </c>
      <c r="Y33" s="42"/>
      <c r="Z33" s="42"/>
      <c r="AA33" s="24">
        <f>2.65*10^-3</f>
        <v>2.65E-3</v>
      </c>
      <c r="AB33" s="24">
        <f>9.293*10^-3</f>
        <v>9.2929999999999992E-3</v>
      </c>
      <c r="AE33" s="54">
        <v>2.9000000000000001E-2</v>
      </c>
      <c r="AF33" s="54">
        <v>0.11799999999999999</v>
      </c>
      <c r="AG33" s="54">
        <v>0.31</v>
      </c>
      <c r="AH33" s="54">
        <v>0.32300000000000001</v>
      </c>
    </row>
    <row r="34" spans="1:34" x14ac:dyDescent="0.35">
      <c r="A34" s="17">
        <v>14</v>
      </c>
      <c r="B34" s="17">
        <v>2</v>
      </c>
      <c r="C34" s="18">
        <v>-10.019</v>
      </c>
      <c r="D34" s="18">
        <v>-18.713999999999999</v>
      </c>
      <c r="E34" s="41"/>
      <c r="F34" s="41"/>
      <c r="G34" s="19">
        <v>-16.154</v>
      </c>
      <c r="H34" s="19">
        <v>-23.097000000000001</v>
      </c>
      <c r="I34" s="41"/>
      <c r="J34" s="41"/>
      <c r="K34" s="20">
        <v>10.646000000000001</v>
      </c>
      <c r="L34" s="20">
        <v>5.5071000000000003</v>
      </c>
      <c r="M34" s="41"/>
      <c r="N34" s="41"/>
      <c r="O34" s="21">
        <v>-3.4329999999999999E-2</v>
      </c>
      <c r="P34" s="21">
        <v>-2.6040000000000001E-2</v>
      </c>
      <c r="Q34" s="42"/>
      <c r="R34" s="42"/>
      <c r="S34" s="22">
        <v>9.8439999999999994</v>
      </c>
      <c r="T34" s="22">
        <v>7.7461000000000002</v>
      </c>
      <c r="U34" s="42"/>
      <c r="V34" s="42"/>
      <c r="W34" s="23" t="s">
        <v>3</v>
      </c>
      <c r="X34" s="23" t="s">
        <v>3</v>
      </c>
      <c r="Y34" s="42"/>
      <c r="Z34" s="42"/>
      <c r="AB34" s="24"/>
      <c r="AE34" s="55">
        <v>0.20699999999999999</v>
      </c>
      <c r="AF34" s="55"/>
      <c r="AG34" s="55">
        <v>0.33700000000000002</v>
      </c>
      <c r="AH34" s="55"/>
    </row>
    <row r="35" spans="1:34" x14ac:dyDescent="0.35">
      <c r="A35" s="17">
        <v>15</v>
      </c>
      <c r="B35" s="17">
        <v>1</v>
      </c>
      <c r="C35" s="18">
        <v>-14.287000000000001</v>
      </c>
      <c r="D35" s="18">
        <v>-20.004999999999999</v>
      </c>
      <c r="E35" s="41"/>
      <c r="F35" s="41"/>
      <c r="G35" s="19">
        <v>-18.238</v>
      </c>
      <c r="H35" s="19">
        <v>-27.145</v>
      </c>
      <c r="I35" s="41"/>
      <c r="J35" s="41"/>
      <c r="K35" s="20">
        <v>19.47</v>
      </c>
      <c r="L35" s="20">
        <v>14.819000000000001</v>
      </c>
      <c r="M35" s="41"/>
      <c r="N35" s="41"/>
      <c r="O35" s="21">
        <v>-0.24249999999999999</v>
      </c>
      <c r="P35" s="21">
        <v>-0.03</v>
      </c>
      <c r="Q35" s="42"/>
      <c r="R35" s="42"/>
      <c r="S35" s="22">
        <v>9.6664999999999992</v>
      </c>
      <c r="T35" s="22">
        <v>8.1494999999999997</v>
      </c>
      <c r="U35" s="42"/>
      <c r="V35" s="42"/>
      <c r="W35" s="23">
        <v>-8.4870000000000001E-2</v>
      </c>
      <c r="X35" s="23">
        <v>-0.13739999999999999</v>
      </c>
      <c r="Y35" s="42"/>
      <c r="Z35" s="42"/>
      <c r="AA35" s="24">
        <f>3.609*10^-3</f>
        <v>3.6090000000000002E-3</v>
      </c>
      <c r="AB35" s="24">
        <v>1.0319999999999999E-2</v>
      </c>
      <c r="AE35" s="54">
        <v>0.153</v>
      </c>
      <c r="AF35" s="54">
        <v>0.17399999999999999</v>
      </c>
      <c r="AG35" s="54">
        <v>0.32500000000000001</v>
      </c>
      <c r="AH35" s="54">
        <v>0.33400000000000002</v>
      </c>
    </row>
    <row r="36" spans="1:34" x14ac:dyDescent="0.35">
      <c r="A36" s="17">
        <v>15</v>
      </c>
      <c r="B36" s="17">
        <v>2</v>
      </c>
      <c r="C36" s="18">
        <v>-12.068</v>
      </c>
      <c r="D36" s="18">
        <v>-17.850999999999999</v>
      </c>
      <c r="E36" s="41"/>
      <c r="F36" s="41"/>
      <c r="G36" s="19">
        <v>-18.917999999999999</v>
      </c>
      <c r="H36" s="19">
        <v>-27.86</v>
      </c>
      <c r="I36" s="41"/>
      <c r="J36" s="41"/>
      <c r="K36" s="20">
        <v>18.995999999999999</v>
      </c>
      <c r="L36" s="20">
        <v>9.8382000000000005</v>
      </c>
      <c r="M36" s="41"/>
      <c r="N36" s="41"/>
      <c r="O36" s="21">
        <v>-3.015E-2</v>
      </c>
      <c r="P36" s="21">
        <v>-1.6990000000000002E-2</v>
      </c>
      <c r="Q36" s="42"/>
      <c r="R36" s="42"/>
      <c r="S36" s="22">
        <v>9.2308000000000003</v>
      </c>
      <c r="T36" s="22">
        <v>9.0210000000000008</v>
      </c>
      <c r="U36" s="42"/>
      <c r="V36" s="42"/>
      <c r="W36" s="23" t="s">
        <v>3</v>
      </c>
      <c r="X36" s="23" t="s">
        <v>3</v>
      </c>
      <c r="Y36" s="42"/>
      <c r="Z36" s="42"/>
      <c r="AB36" s="24"/>
      <c r="AE36" s="55">
        <v>0.19500000000000001</v>
      </c>
      <c r="AF36" s="55"/>
      <c r="AG36" s="55">
        <v>0.34300000000000003</v>
      </c>
      <c r="AH36" s="55"/>
    </row>
    <row r="37" spans="1:34" x14ac:dyDescent="0.35">
      <c r="A37" s="17">
        <v>16</v>
      </c>
      <c r="B37" s="17">
        <v>1</v>
      </c>
      <c r="C37" s="18">
        <v>-2.5548999999999999</v>
      </c>
      <c r="D37" s="18">
        <v>-17.561</v>
      </c>
      <c r="E37" s="41"/>
      <c r="F37" s="41"/>
      <c r="G37" s="19">
        <v>-20.614999999999998</v>
      </c>
      <c r="H37" s="19">
        <v>-23.507999999999999</v>
      </c>
      <c r="I37" s="41"/>
      <c r="J37" s="41"/>
      <c r="K37" s="20">
        <v>16.324000000000002</v>
      </c>
      <c r="L37" s="20">
        <v>7.2720000000000002</v>
      </c>
      <c r="M37" s="41"/>
      <c r="N37" s="41"/>
      <c r="O37" s="21">
        <v>-3.159E-2</v>
      </c>
      <c r="P37" s="21">
        <v>-3.9199999999999999E-2</v>
      </c>
      <c r="Q37" s="42"/>
      <c r="R37" s="42"/>
      <c r="S37" s="22">
        <v>8.0744000000000007</v>
      </c>
      <c r="T37" s="22">
        <v>5.9161000000000001</v>
      </c>
      <c r="U37" s="42"/>
      <c r="V37" s="42"/>
      <c r="W37" s="23">
        <v>-0.1096</v>
      </c>
      <c r="X37" s="23">
        <v>-0.1109</v>
      </c>
      <c r="Y37" s="42"/>
      <c r="Z37" s="42"/>
      <c r="AA37" s="24">
        <f>5.368*10^-3</f>
        <v>5.3680000000000004E-3</v>
      </c>
      <c r="AB37" s="24">
        <v>1.414E-2</v>
      </c>
      <c r="AE37" s="54">
        <v>0.17100000000000001</v>
      </c>
      <c r="AF37" s="54">
        <v>0.23</v>
      </c>
      <c r="AG37" s="54">
        <v>0.40899999999999997</v>
      </c>
      <c r="AH37" s="54">
        <v>0.42</v>
      </c>
    </row>
    <row r="38" spans="1:34" x14ac:dyDescent="0.35">
      <c r="A38" s="17">
        <v>16</v>
      </c>
      <c r="B38" s="17">
        <v>2</v>
      </c>
      <c r="C38" s="18">
        <v>-7.1767000000000003</v>
      </c>
      <c r="D38" s="18">
        <v>-18.190000000000001</v>
      </c>
      <c r="E38" s="41"/>
      <c r="F38" s="41"/>
      <c r="G38" s="19">
        <v>-17.396000000000001</v>
      </c>
      <c r="H38" s="19">
        <v>-23.99</v>
      </c>
      <c r="I38" s="41"/>
      <c r="J38" s="41"/>
      <c r="K38" s="20">
        <v>15.814</v>
      </c>
      <c r="L38" s="20">
        <v>6.7015000000000002</v>
      </c>
      <c r="M38" s="41"/>
      <c r="N38" s="41"/>
      <c r="O38" s="21">
        <v>-4.2130000000000001E-2</v>
      </c>
      <c r="P38" s="21">
        <v>-2.2419999999999999E-2</v>
      </c>
      <c r="Q38" s="42"/>
      <c r="R38" s="42"/>
      <c r="S38" s="22">
        <v>8.4091000000000005</v>
      </c>
      <c r="T38" s="22">
        <v>6.5679999999999996</v>
      </c>
      <c r="U38" s="42"/>
      <c r="V38" s="42"/>
      <c r="W38" s="23" t="s">
        <v>3</v>
      </c>
      <c r="X38" s="23" t="s">
        <v>3</v>
      </c>
      <c r="Y38" s="42"/>
      <c r="Z38" s="42"/>
      <c r="AA38" s="24"/>
      <c r="AB38" s="24">
        <v>2.7140000000000001E-2</v>
      </c>
      <c r="AE38" s="55">
        <v>0.28999999999999998</v>
      </c>
      <c r="AF38" s="55"/>
      <c r="AG38" s="55">
        <v>0.43099999999999999</v>
      </c>
      <c r="AH38" s="55"/>
    </row>
    <row r="39" spans="1:34" x14ac:dyDescent="0.35">
      <c r="A39" s="17">
        <v>17</v>
      </c>
      <c r="B39" s="17">
        <v>1</v>
      </c>
      <c r="C39" s="18">
        <v>-14.333</v>
      </c>
      <c r="D39" s="18">
        <v>-18.181000000000001</v>
      </c>
      <c r="E39" s="41"/>
      <c r="F39" s="41"/>
      <c r="G39" s="19">
        <v>-22.437999999999999</v>
      </c>
      <c r="H39" s="19">
        <v>-31.943000000000001</v>
      </c>
      <c r="I39" s="41"/>
      <c r="J39" s="41"/>
      <c r="K39" s="20">
        <v>17.452999999999999</v>
      </c>
      <c r="L39" s="20">
        <v>25.981999999999999</v>
      </c>
      <c r="M39" s="41"/>
      <c r="N39" s="41"/>
      <c r="O39" s="21">
        <v>-2.7830000000000001E-2</v>
      </c>
      <c r="P39" s="21">
        <v>-3.1119999999999998E-2</v>
      </c>
      <c r="Q39" s="42"/>
      <c r="R39" s="42"/>
      <c r="S39" s="22">
        <v>9.5097000000000005</v>
      </c>
      <c r="T39" s="22">
        <v>5.5282999999999998</v>
      </c>
      <c r="U39" s="42"/>
      <c r="V39" s="42"/>
      <c r="W39" s="23">
        <v>-0.19</v>
      </c>
      <c r="X39" s="23">
        <v>-0.13469999999999999</v>
      </c>
      <c r="Y39" s="42"/>
      <c r="Z39" s="42"/>
      <c r="AA39" s="24">
        <f>7.263*10^-3</f>
        <v>7.2630000000000004E-3</v>
      </c>
      <c r="AB39" s="24">
        <v>1.2710000000000001E-2</v>
      </c>
      <c r="AE39" s="54">
        <v>0.20599999999999999</v>
      </c>
      <c r="AF39" s="54">
        <v>0.20799999999999999</v>
      </c>
      <c r="AG39" s="54">
        <v>0.33600000000000002</v>
      </c>
      <c r="AH39" s="54">
        <v>0.35</v>
      </c>
    </row>
    <row r="40" spans="1:34" x14ac:dyDescent="0.35">
      <c r="A40" s="17">
        <v>17</v>
      </c>
      <c r="B40" s="17">
        <v>2</v>
      </c>
      <c r="C40" s="18">
        <v>-12.010999999999999</v>
      </c>
      <c r="D40" s="18">
        <v>-19.672000000000001</v>
      </c>
      <c r="E40" s="41"/>
      <c r="F40" s="41"/>
      <c r="G40" s="19">
        <v>-21.818999999999999</v>
      </c>
      <c r="H40" s="19">
        <v>-33.058</v>
      </c>
      <c r="I40" s="41"/>
      <c r="J40" s="41"/>
      <c r="K40" s="20">
        <v>18.042999999999999</v>
      </c>
      <c r="L40" s="20">
        <v>24.6</v>
      </c>
      <c r="M40" s="41"/>
      <c r="N40" s="41"/>
      <c r="O40" s="21">
        <v>-2.734E-2</v>
      </c>
      <c r="P40" s="21">
        <v>-3.04E-2</v>
      </c>
      <c r="Q40" s="42"/>
      <c r="R40" s="42"/>
      <c r="S40" s="22">
        <v>9.2308000000000003</v>
      </c>
      <c r="T40" s="22">
        <v>5.2342000000000004</v>
      </c>
      <c r="U40" s="42"/>
      <c r="V40" s="42"/>
      <c r="W40" s="23" t="s">
        <v>3</v>
      </c>
      <c r="X40" s="23" t="s">
        <v>3</v>
      </c>
      <c r="Y40" s="42"/>
      <c r="Z40" s="42"/>
      <c r="AA40" s="24">
        <f>5.797*10^-3</f>
        <v>5.7970000000000001E-3</v>
      </c>
      <c r="AB40" s="24"/>
      <c r="AE40" s="55">
        <v>0.21</v>
      </c>
      <c r="AF40" s="55"/>
      <c r="AG40" s="55">
        <v>0.36299999999999999</v>
      </c>
      <c r="AH40" s="55"/>
    </row>
    <row r="41" spans="1:34" x14ac:dyDescent="0.35">
      <c r="A41" s="17">
        <v>18</v>
      </c>
      <c r="B41" s="17">
        <v>1</v>
      </c>
      <c r="C41" s="18">
        <v>-15.068</v>
      </c>
      <c r="D41" s="18">
        <v>-18.170000000000002</v>
      </c>
      <c r="E41" s="41"/>
      <c r="F41" s="41"/>
      <c r="G41" s="19">
        <v>-20.49</v>
      </c>
      <c r="H41" s="19">
        <v>-21.809000000000001</v>
      </c>
      <c r="I41" s="41"/>
      <c r="J41" s="41"/>
      <c r="K41" s="20">
        <v>15.847</v>
      </c>
      <c r="L41" s="20">
        <v>13.129</v>
      </c>
      <c r="M41" s="41"/>
      <c r="N41" s="41"/>
      <c r="O41" s="21">
        <v>-4.5560000000000003E-2</v>
      </c>
      <c r="P41" s="21">
        <v>-1.303E-2</v>
      </c>
      <c r="Q41" s="42"/>
      <c r="R41" s="42"/>
      <c r="S41" s="22">
        <v>9.1818000000000008</v>
      </c>
      <c r="T41" s="22">
        <v>6.3398000000000003</v>
      </c>
      <c r="U41" s="42"/>
      <c r="V41" s="42"/>
      <c r="W41" s="23">
        <v>-0.1231</v>
      </c>
      <c r="X41" s="23">
        <v>-8.6169999999999997E-2</v>
      </c>
      <c r="Y41" s="42"/>
      <c r="Z41" s="42"/>
      <c r="AA41" s="24">
        <f>1.367*10^-3</f>
        <v>1.3669999999999999E-3</v>
      </c>
      <c r="AB41" s="24">
        <v>1.12E-2</v>
      </c>
      <c r="AE41" s="54">
        <v>0.115</v>
      </c>
      <c r="AF41" s="54">
        <v>0.16800000000000001</v>
      </c>
      <c r="AG41" s="54">
        <v>0.34499999999999997</v>
      </c>
      <c r="AH41" s="54">
        <v>0.35299999999999998</v>
      </c>
    </row>
    <row r="42" spans="1:34" x14ac:dyDescent="0.35">
      <c r="A42" s="17">
        <v>18</v>
      </c>
      <c r="B42" s="17">
        <v>2</v>
      </c>
      <c r="C42" s="18">
        <v>-15.407</v>
      </c>
      <c r="D42" s="18">
        <v>-18.981999999999999</v>
      </c>
      <c r="E42" s="41"/>
      <c r="F42" s="41"/>
      <c r="G42" s="19">
        <v>-18.989000000000001</v>
      </c>
      <c r="H42" s="19">
        <v>-24</v>
      </c>
      <c r="I42" s="41"/>
      <c r="J42" s="41"/>
      <c r="K42" s="20">
        <v>14.920999999999999</v>
      </c>
      <c r="L42" s="20">
        <v>13.073</v>
      </c>
      <c r="M42" s="41"/>
      <c r="N42" s="41"/>
      <c r="O42" s="21">
        <v>-3.0669999999999999E-2</v>
      </c>
      <c r="P42" s="21">
        <v>-2.8199999999999999E-2</v>
      </c>
      <c r="Q42" s="42"/>
      <c r="R42" s="42"/>
      <c r="S42" s="22">
        <v>7.617</v>
      </c>
      <c r="T42" s="22">
        <v>6.4550999999999998</v>
      </c>
      <c r="U42" s="42"/>
      <c r="V42" s="42"/>
      <c r="W42" s="23" t="s">
        <v>3</v>
      </c>
      <c r="X42" s="23" t="s">
        <v>3</v>
      </c>
      <c r="Y42" s="42"/>
      <c r="Z42" s="42"/>
      <c r="AA42" s="24">
        <f>0.01624</f>
        <v>1.6240000000000001E-2</v>
      </c>
      <c r="AB42" s="24"/>
      <c r="AE42" s="55">
        <v>0.221</v>
      </c>
      <c r="AF42" s="55"/>
      <c r="AG42" s="55">
        <v>0.36099999999999999</v>
      </c>
      <c r="AH42" s="55"/>
    </row>
    <row r="43" spans="1:34" x14ac:dyDescent="0.35">
      <c r="A43" s="17">
        <v>19</v>
      </c>
      <c r="B43" s="17">
        <v>1</v>
      </c>
      <c r="C43" s="18">
        <v>-15.885</v>
      </c>
      <c r="D43" s="18">
        <v>-18.178999999999998</v>
      </c>
      <c r="E43" s="41"/>
      <c r="F43" s="41"/>
      <c r="G43" s="19">
        <v>-20.440000000000001</v>
      </c>
      <c r="H43" s="19">
        <v>-24.629000000000001</v>
      </c>
      <c r="I43" s="41"/>
      <c r="J43" s="41"/>
      <c r="K43" s="20">
        <v>21.283999999999999</v>
      </c>
      <c r="L43" s="20">
        <v>38</v>
      </c>
      <c r="M43" s="41"/>
      <c r="N43" s="41"/>
      <c r="O43" s="21">
        <v>-3.6700000000000003E-2</v>
      </c>
      <c r="P43" s="21">
        <v>-2.5600000000000001E-2</v>
      </c>
      <c r="Q43" s="42"/>
      <c r="R43" s="42"/>
      <c r="S43" s="22">
        <v>7.4252000000000002</v>
      </c>
      <c r="T43" s="22">
        <v>6.8369</v>
      </c>
      <c r="U43" s="42"/>
      <c r="V43" s="42"/>
      <c r="W43" s="23">
        <v>-0.10630000000000001</v>
      </c>
      <c r="X43" s="23">
        <v>-0.1069</v>
      </c>
      <c r="Y43" s="42"/>
      <c r="Z43" s="42"/>
      <c r="AA43" s="24">
        <f>2.186*10^-3</f>
        <v>2.186E-3</v>
      </c>
      <c r="AB43" s="24">
        <f>5.627*10^-3</f>
        <v>5.6270000000000001E-3</v>
      </c>
      <c r="AE43" s="54">
        <v>0.24</v>
      </c>
      <c r="AF43" s="54">
        <v>0.251</v>
      </c>
      <c r="AG43" s="54">
        <v>0.34499999999999997</v>
      </c>
      <c r="AH43" s="54">
        <v>0.35799999999999998</v>
      </c>
    </row>
    <row r="44" spans="1:34" x14ac:dyDescent="0.35">
      <c r="A44" s="17">
        <v>19</v>
      </c>
      <c r="B44" s="17">
        <v>2</v>
      </c>
      <c r="C44" s="18">
        <v>-15.420999999999999</v>
      </c>
      <c r="D44" s="18">
        <v>-18.346</v>
      </c>
      <c r="E44" s="41"/>
      <c r="F44" s="41"/>
      <c r="G44" s="19">
        <v>-19.648</v>
      </c>
      <c r="H44" s="19">
        <v>-27.794</v>
      </c>
      <c r="I44" s="41"/>
      <c r="J44" s="41"/>
      <c r="K44" s="20">
        <v>22.262</v>
      </c>
      <c r="L44" s="20">
        <v>31.763999999999999</v>
      </c>
      <c r="M44" s="41"/>
      <c r="N44" s="41"/>
      <c r="O44" s="21">
        <v>-3.866E-2</v>
      </c>
      <c r="P44" s="21">
        <v>-2.809E-2</v>
      </c>
      <c r="Q44" s="42"/>
      <c r="R44" s="42"/>
      <c r="S44" s="22">
        <v>7.5944000000000003</v>
      </c>
      <c r="T44" s="22">
        <v>7.1106999999999996</v>
      </c>
      <c r="U44" s="42"/>
      <c r="V44" s="42"/>
      <c r="W44" s="23" t="s">
        <v>3</v>
      </c>
      <c r="X44" s="23" t="s">
        <v>3</v>
      </c>
      <c r="Y44" s="42"/>
      <c r="Z44" s="42"/>
      <c r="AA44" s="24">
        <f>3.416*10^-3</f>
        <v>3.4160000000000002E-3</v>
      </c>
      <c r="AB44" s="24">
        <f>3.568*10^-3</f>
        <v>3.568E-3</v>
      </c>
      <c r="AE44" s="55">
        <v>0.26300000000000001</v>
      </c>
      <c r="AF44" s="55"/>
      <c r="AG44" s="55">
        <v>0.371</v>
      </c>
      <c r="AH44" s="55"/>
    </row>
    <row r="45" spans="1:34" x14ac:dyDescent="0.35">
      <c r="A45" s="17">
        <v>20</v>
      </c>
      <c r="B45" s="17">
        <v>1</v>
      </c>
      <c r="C45" s="18">
        <v>-11.67</v>
      </c>
      <c r="D45" s="18">
        <v>-16.981999999999999</v>
      </c>
      <c r="E45" s="41"/>
      <c r="F45" s="41"/>
      <c r="G45" s="19">
        <v>-18.335000000000001</v>
      </c>
      <c r="H45" s="19">
        <v>-24.03</v>
      </c>
      <c r="I45" s="41"/>
      <c r="J45" s="41"/>
      <c r="K45" s="20">
        <v>13.741</v>
      </c>
      <c r="L45" s="20">
        <v>25.055</v>
      </c>
      <c r="M45" s="41"/>
      <c r="N45" s="41"/>
      <c r="O45" s="21">
        <v>-3.4180000000000002E-2</v>
      </c>
      <c r="P45" s="21">
        <v>-3.022E-2</v>
      </c>
      <c r="Q45" s="42"/>
      <c r="R45" s="42"/>
      <c r="S45" s="22">
        <v>9.6112000000000002</v>
      </c>
      <c r="T45" s="22">
        <v>10.154</v>
      </c>
      <c r="U45" s="42"/>
      <c r="V45" s="42"/>
      <c r="W45" s="23">
        <v>-0.13</v>
      </c>
      <c r="X45" s="23">
        <v>-0.12180000000000001</v>
      </c>
      <c r="Y45" s="42"/>
      <c r="Z45" s="42"/>
      <c r="AA45" s="24">
        <f>2.785*10^-3</f>
        <v>2.7850000000000001E-3</v>
      </c>
      <c r="AB45" s="24">
        <f>2.535*10^-3</f>
        <v>2.5350000000000004E-3</v>
      </c>
      <c r="AE45" s="54">
        <v>0.17599999999999999</v>
      </c>
      <c r="AF45" s="54">
        <v>0.184</v>
      </c>
      <c r="AG45" s="54">
        <v>0.28199999999999997</v>
      </c>
      <c r="AH45" s="54">
        <v>0.28999999999999998</v>
      </c>
    </row>
    <row r="46" spans="1:34" x14ac:dyDescent="0.35">
      <c r="A46" s="17">
        <v>20</v>
      </c>
      <c r="B46" s="17">
        <v>2</v>
      </c>
      <c r="C46" s="18">
        <v>-16.957000000000001</v>
      </c>
      <c r="D46" s="18">
        <v>-18.338999999999999</v>
      </c>
      <c r="E46" s="41"/>
      <c r="F46" s="41"/>
      <c r="G46" s="19">
        <v>-24.276</v>
      </c>
      <c r="H46" s="19">
        <v>-23.029</v>
      </c>
      <c r="I46" s="41"/>
      <c r="J46" s="41"/>
      <c r="K46" s="20">
        <v>13.65</v>
      </c>
      <c r="L46" s="20">
        <v>23.815000000000001</v>
      </c>
      <c r="M46" s="41"/>
      <c r="N46" s="41"/>
      <c r="O46" s="21">
        <v>-3.3739999999999999E-2</v>
      </c>
      <c r="P46" s="21">
        <v>-3.073E-2</v>
      </c>
      <c r="Q46" s="42"/>
      <c r="R46" s="42"/>
      <c r="S46" s="22">
        <v>9.3322000000000003</v>
      </c>
      <c r="T46" s="22">
        <v>9.9306999999999999</v>
      </c>
      <c r="U46" s="42"/>
      <c r="V46" s="42"/>
      <c r="W46" s="23" t="s">
        <v>3</v>
      </c>
      <c r="X46" s="23" t="s">
        <v>3</v>
      </c>
      <c r="Y46" s="42"/>
      <c r="Z46" s="42"/>
      <c r="AA46" s="24">
        <f>0.01444</f>
        <v>1.444E-2</v>
      </c>
      <c r="AB46" s="24"/>
      <c r="AE46" s="55">
        <v>0.192</v>
      </c>
      <c r="AF46" s="55"/>
      <c r="AG46" s="55">
        <v>0.29799999999999999</v>
      </c>
      <c r="AH46" s="55"/>
    </row>
    <row r="47" spans="1:34" x14ac:dyDescent="0.35">
      <c r="A47" s="17">
        <v>21</v>
      </c>
      <c r="B47" s="17">
        <v>1</v>
      </c>
      <c r="C47" s="18">
        <v>-17.611000000000001</v>
      </c>
      <c r="D47" s="18">
        <v>-18.533000000000001</v>
      </c>
      <c r="E47" s="41"/>
      <c r="F47" s="41"/>
      <c r="G47" s="19">
        <v>-21.443999999999999</v>
      </c>
      <c r="H47" s="19">
        <v>-23.036000000000001</v>
      </c>
      <c r="I47" s="41"/>
      <c r="J47" s="41"/>
      <c r="K47" s="20">
        <v>20.056000000000001</v>
      </c>
      <c r="L47" s="20">
        <v>27.626000000000001</v>
      </c>
      <c r="M47" s="41"/>
      <c r="N47" s="41"/>
      <c r="O47" s="21">
        <v>-3.1660000000000001E-2</v>
      </c>
      <c r="P47" s="21">
        <v>-2.07E-2</v>
      </c>
      <c r="Q47" s="42"/>
      <c r="R47" s="42"/>
      <c r="S47" s="22">
        <v>7.4759000000000002</v>
      </c>
      <c r="T47" s="22">
        <v>6.5427</v>
      </c>
      <c r="U47" s="42"/>
      <c r="V47" s="42"/>
      <c r="W47" s="23">
        <v>-9.0289999999999995E-2</v>
      </c>
      <c r="X47" s="23">
        <v>-0.11070000000000001</v>
      </c>
      <c r="Y47" s="42"/>
      <c r="Z47" s="42"/>
      <c r="AA47" s="24">
        <f>1.608*10^-3</f>
        <v>1.6080000000000001E-3</v>
      </c>
      <c r="AB47" s="24">
        <f>3.158*10^-3</f>
        <v>3.1579999999999998E-3</v>
      </c>
      <c r="AE47" s="54">
        <v>0.22600000000000001</v>
      </c>
      <c r="AF47" s="54">
        <v>0.23200000000000001</v>
      </c>
      <c r="AG47" s="54">
        <v>0.25900000000000001</v>
      </c>
      <c r="AH47" s="54">
        <v>0.27400000000000002</v>
      </c>
    </row>
    <row r="48" spans="1:34" x14ac:dyDescent="0.35">
      <c r="A48" s="17">
        <v>21</v>
      </c>
      <c r="B48" s="17">
        <v>2</v>
      </c>
      <c r="C48" s="18">
        <v>-14.656000000000001</v>
      </c>
      <c r="D48" s="18">
        <v>-18.556999999999999</v>
      </c>
      <c r="E48" s="41"/>
      <c r="F48" s="41"/>
      <c r="G48" s="19">
        <v>-19.515999999999998</v>
      </c>
      <c r="H48" s="19">
        <v>-24.928000000000001</v>
      </c>
      <c r="I48" s="41"/>
      <c r="J48" s="41"/>
      <c r="K48" s="20">
        <v>21.565000000000001</v>
      </c>
      <c r="L48" s="20">
        <v>28.178999999999998</v>
      </c>
      <c r="M48" s="41"/>
      <c r="N48" s="41"/>
      <c r="O48" s="21">
        <v>-3.3750000000000002E-2</v>
      </c>
      <c r="P48" s="21">
        <v>-2.1409999999999998E-2</v>
      </c>
      <c r="Q48" s="42"/>
      <c r="R48" s="42"/>
      <c r="S48" s="22">
        <v>7.5571000000000002</v>
      </c>
      <c r="T48" s="22">
        <v>6.3905000000000003</v>
      </c>
      <c r="U48" s="42"/>
      <c r="V48" s="42"/>
      <c r="W48" s="23" t="s">
        <v>3</v>
      </c>
      <c r="X48" s="23" t="s">
        <v>3</v>
      </c>
      <c r="Y48" s="42"/>
      <c r="Z48" s="42"/>
      <c r="AA48" s="24">
        <f>3.842*10^-3</f>
        <v>3.8420000000000004E-3</v>
      </c>
      <c r="AB48" s="24">
        <f>4.78*10^-3</f>
        <v>4.7800000000000004E-3</v>
      </c>
      <c r="AE48" s="55">
        <v>0.23699999999999999</v>
      </c>
      <c r="AF48" s="55"/>
      <c r="AG48" s="55">
        <v>0.28999999999999998</v>
      </c>
      <c r="AH48" s="55"/>
    </row>
    <row r="49" spans="1:34" x14ac:dyDescent="0.35">
      <c r="A49" s="17">
        <v>22</v>
      </c>
      <c r="B49" s="17">
        <v>1</v>
      </c>
      <c r="C49" s="18">
        <v>-14.525</v>
      </c>
      <c r="D49" s="18">
        <v>-24.808</v>
      </c>
      <c r="E49" s="41"/>
      <c r="F49" s="41"/>
      <c r="G49" s="19">
        <v>-17.183</v>
      </c>
      <c r="H49" s="19">
        <v>-34.619999999999997</v>
      </c>
      <c r="I49" s="41"/>
      <c r="J49" s="41"/>
      <c r="K49" s="20">
        <v>14.077999999999999</v>
      </c>
      <c r="L49" s="20">
        <v>23.963999999999999</v>
      </c>
      <c r="M49" s="41"/>
      <c r="N49" s="41"/>
      <c r="O49" s="21">
        <v>-2.9270000000000001E-2</v>
      </c>
      <c r="P49" s="21">
        <v>-1.213E-2</v>
      </c>
      <c r="Q49" s="42"/>
      <c r="R49" s="42"/>
      <c r="S49" s="22">
        <v>10.098000000000001</v>
      </c>
      <c r="T49" s="22">
        <v>7.0751999999999997</v>
      </c>
      <c r="U49" s="42"/>
      <c r="V49" s="42"/>
      <c r="W49" s="23">
        <v>-6.9190000000000002E-2</v>
      </c>
      <c r="X49" s="23">
        <v>-0.12470000000000001</v>
      </c>
      <c r="Y49" s="42"/>
      <c r="Z49" s="42"/>
      <c r="AA49" s="24">
        <f>3.158*10^-3</f>
        <v>3.1579999999999998E-3</v>
      </c>
      <c r="AB49" s="24">
        <v>1.068E-2</v>
      </c>
      <c r="AE49" s="54">
        <v>0.125</v>
      </c>
      <c r="AF49" s="54">
        <v>0.13300000000000001</v>
      </c>
      <c r="AG49" s="54">
        <v>0.34599999999999997</v>
      </c>
      <c r="AH49" s="54">
        <v>0.36199999999999999</v>
      </c>
    </row>
    <row r="50" spans="1:34" x14ac:dyDescent="0.35">
      <c r="A50" s="17">
        <v>22</v>
      </c>
      <c r="B50" s="17">
        <v>2</v>
      </c>
      <c r="C50" s="18">
        <v>-15.603</v>
      </c>
      <c r="D50" s="18">
        <v>-24.436</v>
      </c>
      <c r="E50" s="41"/>
      <c r="F50" s="41"/>
      <c r="G50" s="19">
        <v>-19.04</v>
      </c>
      <c r="H50" s="19">
        <v>-36.994</v>
      </c>
      <c r="I50" s="41"/>
      <c r="J50" s="41"/>
      <c r="K50" s="20">
        <v>15.439</v>
      </c>
      <c r="L50" s="20">
        <v>26.073</v>
      </c>
      <c r="M50" s="41"/>
      <c r="N50" s="41"/>
      <c r="O50" s="21">
        <v>-2.5319999999999999E-2</v>
      </c>
      <c r="P50" s="21">
        <v>-3.4200000000000001E-2</v>
      </c>
      <c r="Q50" s="42"/>
      <c r="R50" s="42"/>
      <c r="S50" s="22">
        <v>9.1661999999999999</v>
      </c>
      <c r="T50" s="22">
        <v>6.6154000000000002</v>
      </c>
      <c r="U50" s="42"/>
      <c r="V50" s="42"/>
      <c r="W50" s="23" t="s">
        <v>3</v>
      </c>
      <c r="X50" s="23" t="s">
        <v>3</v>
      </c>
      <c r="Y50" s="42"/>
      <c r="Z50" s="42"/>
      <c r="AA50" s="24">
        <f>2.099*10^-3</f>
        <v>2.0990000000000002E-3</v>
      </c>
      <c r="AB50" s="24"/>
      <c r="AE50" s="55">
        <v>0.14000000000000001</v>
      </c>
      <c r="AF50" s="55"/>
      <c r="AG50" s="55">
        <v>0.378</v>
      </c>
      <c r="AH50" s="55"/>
    </row>
    <row r="51" spans="1:34" x14ac:dyDescent="0.35">
      <c r="A51" s="17">
        <v>23</v>
      </c>
      <c r="B51" s="17">
        <v>1</v>
      </c>
      <c r="C51" s="18">
        <v>-12.478</v>
      </c>
      <c r="D51" s="18">
        <v>-16.648</v>
      </c>
      <c r="E51" s="41"/>
      <c r="F51" s="41"/>
      <c r="G51" s="19">
        <v>-15.444000000000001</v>
      </c>
      <c r="H51" s="19">
        <v>-23.876999999999999</v>
      </c>
      <c r="I51" s="41"/>
      <c r="J51" s="41"/>
      <c r="K51" s="20">
        <v>18.706</v>
      </c>
      <c r="L51" s="20">
        <v>17.899000000000001</v>
      </c>
      <c r="M51" s="41"/>
      <c r="N51" s="41"/>
      <c r="O51" s="21">
        <v>-3.5450000000000002E-2</v>
      </c>
      <c r="P51" s="21">
        <v>-1.18E-2</v>
      </c>
      <c r="Q51" s="42"/>
      <c r="R51" s="42"/>
      <c r="S51" s="22">
        <v>7.2729999999999997</v>
      </c>
      <c r="T51" s="22">
        <v>6.5122999999999998</v>
      </c>
      <c r="U51" s="42"/>
      <c r="V51" s="42"/>
      <c r="W51" s="23">
        <v>-0.1288</v>
      </c>
      <c r="X51" s="23">
        <v>-0.1114</v>
      </c>
      <c r="Y51" s="42"/>
      <c r="Z51" s="42"/>
      <c r="AA51" s="24">
        <f>9.789*10^-3</f>
        <v>9.7889999999999991E-3</v>
      </c>
      <c r="AB51" s="24">
        <f>6.698*10^-3</f>
        <v>6.6980000000000008E-3</v>
      </c>
      <c r="AE51" s="54">
        <v>0.217</v>
      </c>
      <c r="AF51" s="54">
        <v>0.22700000000000001</v>
      </c>
      <c r="AG51" s="54">
        <v>0.39700000000000002</v>
      </c>
      <c r="AH51" s="54">
        <v>0.42299999999999999</v>
      </c>
    </row>
    <row r="52" spans="1:34" x14ac:dyDescent="0.35">
      <c r="A52" s="17">
        <v>23</v>
      </c>
      <c r="B52" s="17">
        <v>2</v>
      </c>
      <c r="C52" s="18">
        <v>-16.756</v>
      </c>
      <c r="D52" s="18">
        <v>-18.265000000000001</v>
      </c>
      <c r="E52" s="41"/>
      <c r="F52" s="41"/>
      <c r="G52" s="19">
        <v>-18.289000000000001</v>
      </c>
      <c r="H52" s="19">
        <v>-25.552</v>
      </c>
      <c r="I52" s="41"/>
      <c r="J52" s="41"/>
      <c r="K52" s="20">
        <v>18.375</v>
      </c>
      <c r="L52" s="20">
        <v>20.241</v>
      </c>
      <c r="M52" s="41"/>
      <c r="N52" s="41"/>
      <c r="O52" s="21">
        <v>-3.9669999999999997E-2</v>
      </c>
      <c r="P52" s="21">
        <v>-3.9199999999999999E-2</v>
      </c>
      <c r="Q52" s="42"/>
      <c r="R52" s="42"/>
      <c r="S52" s="22">
        <v>7.3948</v>
      </c>
      <c r="T52" s="22">
        <v>6.4717000000000002</v>
      </c>
      <c r="U52" s="42"/>
      <c r="V52" s="42"/>
      <c r="W52" s="23" t="s">
        <v>3</v>
      </c>
      <c r="X52" s="23" t="s">
        <v>3</v>
      </c>
      <c r="Y52" s="42"/>
      <c r="Z52" s="42"/>
      <c r="AA52" s="24">
        <f>7.421*10^-3</f>
        <v>7.4210000000000005E-3</v>
      </c>
      <c r="AB52" s="24"/>
      <c r="AE52" s="55">
        <v>0.23699999999999999</v>
      </c>
      <c r="AF52" s="55"/>
      <c r="AG52" s="55">
        <v>0.44900000000000001</v>
      </c>
      <c r="AH52" s="55"/>
    </row>
    <row r="53" spans="1:34" x14ac:dyDescent="0.35">
      <c r="A53" s="17">
        <v>24</v>
      </c>
      <c r="B53" s="17">
        <v>1</v>
      </c>
      <c r="C53" s="18">
        <v>-14.077</v>
      </c>
      <c r="D53" s="18">
        <v>-16.251000000000001</v>
      </c>
      <c r="E53" s="41"/>
      <c r="F53" s="41"/>
      <c r="G53" s="19">
        <v>-25.93</v>
      </c>
      <c r="H53" s="19">
        <v>-26.678000000000001</v>
      </c>
      <c r="I53" s="41"/>
      <c r="J53" s="41"/>
      <c r="K53" s="20">
        <v>28.600999999999999</v>
      </c>
      <c r="L53" s="20">
        <v>16.681000000000001</v>
      </c>
      <c r="M53" s="41"/>
      <c r="N53" s="41"/>
      <c r="O53" s="21">
        <v>-3.4200000000000001E-2</v>
      </c>
      <c r="P53" s="21">
        <v>-1.6E-2</v>
      </c>
      <c r="Q53" s="42"/>
      <c r="R53" s="42"/>
      <c r="S53" s="22">
        <v>7.8106999999999998</v>
      </c>
      <c r="T53" s="22">
        <v>8.2164000000000001</v>
      </c>
      <c r="U53" s="42"/>
      <c r="V53" s="42"/>
      <c r="W53" s="23">
        <v>-0.1043</v>
      </c>
      <c r="X53" s="23">
        <v>-0.18010000000000001</v>
      </c>
      <c r="Y53" s="42"/>
      <c r="Z53" s="42"/>
      <c r="AA53" s="24">
        <f>0.01263</f>
        <v>1.2630000000000001E-2</v>
      </c>
      <c r="AB53" s="24">
        <v>2.5260000000000001E-2</v>
      </c>
      <c r="AE53" s="54">
        <v>0.23100000000000001</v>
      </c>
      <c r="AF53" s="54">
        <v>0.246</v>
      </c>
      <c r="AG53" s="54">
        <v>0.308</v>
      </c>
      <c r="AH53" s="54">
        <v>0.33200000000000002</v>
      </c>
    </row>
    <row r="54" spans="1:34" x14ac:dyDescent="0.35">
      <c r="A54" s="17">
        <v>24</v>
      </c>
      <c r="B54" s="17">
        <v>2</v>
      </c>
      <c r="C54" s="18">
        <v>-16.652000000000001</v>
      </c>
      <c r="D54" s="18">
        <v>-16.073</v>
      </c>
      <c r="E54" s="41"/>
      <c r="F54" s="41"/>
      <c r="G54" s="19">
        <v>-23.26</v>
      </c>
      <c r="H54" s="19">
        <v>-28.189</v>
      </c>
      <c r="I54" s="41"/>
      <c r="J54" s="41"/>
      <c r="K54" s="20">
        <v>25.92</v>
      </c>
      <c r="L54" s="20">
        <v>18.030999999999999</v>
      </c>
      <c r="M54" s="41"/>
      <c r="N54" s="41"/>
      <c r="O54" s="21">
        <v>-3.662E-2</v>
      </c>
      <c r="P54" s="21">
        <v>-2.8469999999999999E-2</v>
      </c>
      <c r="Q54" s="42"/>
      <c r="R54" s="42"/>
      <c r="S54" s="22">
        <v>11.044</v>
      </c>
      <c r="T54" s="22">
        <v>7.2222999999999997</v>
      </c>
      <c r="U54" s="42"/>
      <c r="V54" s="42"/>
      <c r="W54" s="23" t="s">
        <v>3</v>
      </c>
      <c r="X54" s="23" t="s">
        <v>3</v>
      </c>
      <c r="Y54" s="42"/>
      <c r="Z54" s="42"/>
      <c r="AA54" s="24">
        <f>0.02418</f>
        <v>2.418E-2</v>
      </c>
      <c r="AB54" s="24"/>
      <c r="AE54" s="55">
        <v>0.26100000000000001</v>
      </c>
      <c r="AF54" s="55"/>
      <c r="AG54" s="55">
        <v>0.35599999999999998</v>
      </c>
      <c r="AH54" s="55"/>
    </row>
    <row r="55" spans="1:34" x14ac:dyDescent="0.35">
      <c r="A55" s="17">
        <v>25</v>
      </c>
      <c r="B55" s="17">
        <v>1</v>
      </c>
      <c r="C55" s="18">
        <v>-4.7698999999999998</v>
      </c>
      <c r="D55" s="18">
        <v>-13.417999999999999</v>
      </c>
      <c r="E55" s="41"/>
      <c r="F55" s="41"/>
      <c r="G55" s="19">
        <v>-13.846</v>
      </c>
      <c r="H55" s="19">
        <v>-24.922999999999998</v>
      </c>
      <c r="I55" s="41"/>
      <c r="J55" s="41"/>
      <c r="K55" s="20">
        <v>12.096</v>
      </c>
      <c r="L55" s="20">
        <v>23.215</v>
      </c>
      <c r="M55" s="41"/>
      <c r="N55" s="41"/>
      <c r="O55" s="21">
        <v>-2.887E-2</v>
      </c>
      <c r="P55" s="21">
        <f>-6.04*10^-3</f>
        <v>-6.0400000000000002E-3</v>
      </c>
      <c r="Q55" s="42"/>
      <c r="R55" s="42"/>
      <c r="S55" s="22">
        <v>7.5063000000000004</v>
      </c>
      <c r="T55" s="22">
        <v>5.9036</v>
      </c>
      <c r="U55" s="42"/>
      <c r="V55" s="42"/>
      <c r="W55" s="23">
        <v>-8.4970000000000004E-2</v>
      </c>
      <c r="X55" s="23">
        <v>-5.3999999999999999E-2</v>
      </c>
      <c r="Y55" s="42"/>
      <c r="Z55" s="42"/>
      <c r="AA55" s="24">
        <v>1.6799999999999999E-2</v>
      </c>
      <c r="AB55" s="24">
        <v>2.6839999999999999E-2</v>
      </c>
      <c r="AE55" s="54">
        <v>0.223</v>
      </c>
      <c r="AF55" s="54">
        <v>0.218</v>
      </c>
      <c r="AG55" s="54">
        <v>0.38200000000000001</v>
      </c>
      <c r="AH55" s="54">
        <v>0.4</v>
      </c>
    </row>
    <row r="56" spans="1:34" x14ac:dyDescent="0.35">
      <c r="A56" s="17">
        <v>25</v>
      </c>
      <c r="B56" s="17">
        <v>2</v>
      </c>
      <c r="C56" s="18">
        <v>-12.367000000000001</v>
      </c>
      <c r="D56" s="18">
        <v>-15.6</v>
      </c>
      <c r="E56" s="41"/>
      <c r="F56" s="41"/>
      <c r="G56" s="19">
        <v>-16.097999999999999</v>
      </c>
      <c r="H56" s="19">
        <v>-23.928999999999998</v>
      </c>
      <c r="I56" s="41"/>
      <c r="J56" s="41"/>
      <c r="K56" s="20">
        <v>13.363</v>
      </c>
      <c r="L56" s="20">
        <v>23.713000000000001</v>
      </c>
      <c r="M56" s="41"/>
      <c r="N56" s="41"/>
      <c r="O56" s="21">
        <v>-3.499E-2</v>
      </c>
      <c r="P56" s="21">
        <v>-1.516E-2</v>
      </c>
      <c r="Q56" s="42"/>
      <c r="R56" s="42"/>
      <c r="S56" s="22">
        <v>7.7202999999999999</v>
      </c>
      <c r="T56" s="22">
        <v>5.2037000000000004</v>
      </c>
      <c r="U56" s="42"/>
      <c r="V56" s="42"/>
      <c r="W56" s="23" t="s">
        <v>3</v>
      </c>
      <c r="X56" s="23" t="s">
        <v>3</v>
      </c>
      <c r="Y56" s="42"/>
      <c r="Z56" s="42"/>
      <c r="AA56" s="24"/>
      <c r="AB56" s="24">
        <v>2.6440000000000002E-2</v>
      </c>
      <c r="AE56" s="55">
        <v>0.21299999999999999</v>
      </c>
      <c r="AF56" s="55"/>
      <c r="AG56" s="55">
        <v>0.41799999999999998</v>
      </c>
      <c r="AH56" s="55"/>
    </row>
    <row r="57" spans="1:34" x14ac:dyDescent="0.35">
      <c r="A57" s="17">
        <v>26</v>
      </c>
      <c r="B57" s="17">
        <v>1</v>
      </c>
      <c r="C57" s="18">
        <v>-4.5362</v>
      </c>
      <c r="D57" s="18">
        <v>-14.057</v>
      </c>
      <c r="E57" s="41"/>
      <c r="F57" s="41"/>
      <c r="G57" s="19">
        <v>-16.777999999999999</v>
      </c>
      <c r="H57" s="19">
        <v>-19.263000000000002</v>
      </c>
      <c r="I57" s="41"/>
      <c r="J57" s="41"/>
      <c r="K57" s="20">
        <v>15.981999999999999</v>
      </c>
      <c r="L57" s="20">
        <v>15.488</v>
      </c>
      <c r="M57" s="41"/>
      <c r="N57" s="41"/>
      <c r="O57" s="21">
        <v>-2.2929999999999999E-2</v>
      </c>
      <c r="P57" s="21">
        <f>-2.86*10^-3</f>
        <v>-2.8600000000000001E-3</v>
      </c>
      <c r="Q57" s="42"/>
      <c r="R57" s="42"/>
      <c r="S57" s="22">
        <v>7.2526999999999999</v>
      </c>
      <c r="T57" s="22">
        <v>6.2516999999999996</v>
      </c>
      <c r="U57" s="42"/>
      <c r="V57" s="42"/>
      <c r="W57" s="23">
        <v>-0.11799999999999999</v>
      </c>
      <c r="X57" s="23">
        <v>-5.9089999999999997E-2</v>
      </c>
      <c r="Y57" s="42"/>
      <c r="Z57" s="42"/>
      <c r="AA57" s="24">
        <v>2.0389999999999998E-2</v>
      </c>
      <c r="AB57" s="24">
        <v>1.8319999999999999E-2</v>
      </c>
      <c r="AE57" s="54">
        <v>0.22700000000000001</v>
      </c>
      <c r="AF57" s="54">
        <v>0.23499999999999999</v>
      </c>
      <c r="AG57" s="54">
        <v>0.32500000000000001</v>
      </c>
      <c r="AH57" s="54">
        <v>0.33600000000000002</v>
      </c>
    </row>
    <row r="58" spans="1:34" x14ac:dyDescent="0.35">
      <c r="A58" s="17">
        <v>26</v>
      </c>
      <c r="B58" s="17">
        <v>2</v>
      </c>
      <c r="C58" s="18">
        <v>-9.2472999999999992</v>
      </c>
      <c r="D58" s="18">
        <v>-14.233000000000001</v>
      </c>
      <c r="E58" s="41"/>
      <c r="F58" s="41"/>
      <c r="G58" s="19">
        <v>-16.808</v>
      </c>
      <c r="H58" s="19">
        <v>-18.553000000000001</v>
      </c>
      <c r="I58" s="41"/>
      <c r="J58" s="41"/>
      <c r="K58" s="20">
        <v>8.9786000000000001</v>
      </c>
      <c r="L58" s="20">
        <v>16.702999999999999</v>
      </c>
      <c r="M58" s="41"/>
      <c r="N58" s="41"/>
      <c r="O58" s="21">
        <v>-3.2000000000000001E-2</v>
      </c>
      <c r="P58" s="21">
        <f>-0.631*10^-3</f>
        <v>-6.3100000000000005E-4</v>
      </c>
      <c r="Q58" s="42"/>
      <c r="R58" s="42"/>
      <c r="S58" s="22">
        <v>8.3916000000000004</v>
      </c>
      <c r="T58" s="22">
        <v>7.149</v>
      </c>
      <c r="U58" s="42"/>
      <c r="V58" s="42"/>
      <c r="W58" s="23" t="s">
        <v>3</v>
      </c>
      <c r="X58" s="23" t="s">
        <v>3</v>
      </c>
      <c r="Y58" s="42"/>
      <c r="Z58" s="42"/>
      <c r="AA58" s="24">
        <v>3.916E-2</v>
      </c>
      <c r="AB58" s="24">
        <v>2.222E-2</v>
      </c>
      <c r="AE58" s="55">
        <v>0.24199999999999999</v>
      </c>
      <c r="AF58" s="55"/>
      <c r="AG58" s="55">
        <v>0.34699999999999998</v>
      </c>
      <c r="AH58" s="55"/>
    </row>
    <row r="59" spans="1:34" x14ac:dyDescent="0.35">
      <c r="A59" s="17">
        <v>27</v>
      </c>
      <c r="B59" s="17">
        <v>1</v>
      </c>
      <c r="C59" s="18">
        <v>-15.336</v>
      </c>
      <c r="D59" s="18">
        <v>-10.050000000000001</v>
      </c>
      <c r="E59" s="41"/>
      <c r="F59" s="41"/>
      <c r="G59" s="19">
        <v>-30.501999999999999</v>
      </c>
      <c r="H59" s="19">
        <v>-18.489999999999998</v>
      </c>
      <c r="I59" s="41"/>
      <c r="J59" s="41"/>
      <c r="K59" s="20">
        <v>18.757999999999999</v>
      </c>
      <c r="L59" s="20">
        <v>11.500999999999999</v>
      </c>
      <c r="M59" s="41"/>
      <c r="N59" s="41"/>
      <c r="O59" s="21">
        <v>-2.4660000000000001E-2</v>
      </c>
      <c r="P59" s="21">
        <v>-1.7160000000000002E-2</v>
      </c>
      <c r="Q59" s="42"/>
      <c r="R59" s="42"/>
      <c r="S59" s="22">
        <v>6.4717000000000002</v>
      </c>
      <c r="T59" s="22">
        <v>6.2130000000000001</v>
      </c>
      <c r="U59" s="42"/>
      <c r="V59" s="42"/>
      <c r="W59" s="23">
        <v>-6.6049999999999998E-2</v>
      </c>
      <c r="X59" s="23">
        <v>-7.2910000000000003E-2</v>
      </c>
      <c r="Y59" s="42"/>
      <c r="Z59" s="42"/>
      <c r="AA59" s="24">
        <f>8.251*10^-4</f>
        <v>8.2509999999999994E-4</v>
      </c>
      <c r="AB59" s="24">
        <f>7.983*10^-3</f>
        <v>7.9830000000000005E-3</v>
      </c>
      <c r="AE59" s="54">
        <v>0.17899999999999999</v>
      </c>
      <c r="AF59" s="54">
        <v>0.193</v>
      </c>
      <c r="AG59" s="54">
        <v>0.378</v>
      </c>
      <c r="AH59" s="54">
        <v>0.38600000000000001</v>
      </c>
    </row>
    <row r="60" spans="1:34" x14ac:dyDescent="0.35">
      <c r="A60" s="17">
        <v>27</v>
      </c>
      <c r="B60" s="17">
        <v>2</v>
      </c>
      <c r="C60" s="18" t="s">
        <v>3</v>
      </c>
      <c r="D60" s="18">
        <v>-10.651</v>
      </c>
      <c r="E60" s="41"/>
      <c r="F60" s="41"/>
      <c r="G60" s="19">
        <v>-31.07</v>
      </c>
      <c r="H60" s="19">
        <v>-17.66</v>
      </c>
      <c r="I60" s="41"/>
      <c r="J60" s="41"/>
      <c r="K60" s="20">
        <v>10.708</v>
      </c>
      <c r="L60" s="20">
        <v>11.457000000000001</v>
      </c>
      <c r="M60" s="41"/>
      <c r="N60" s="41"/>
      <c r="O60" s="21">
        <v>-3.006E-2</v>
      </c>
      <c r="P60" s="21">
        <v>-3.3739999999999999E-2</v>
      </c>
      <c r="Q60" s="42"/>
      <c r="R60" s="42"/>
      <c r="S60" s="22">
        <v>6.8369</v>
      </c>
      <c r="T60" s="22">
        <v>6.1258999999999997</v>
      </c>
      <c r="U60" s="42"/>
      <c r="V60" s="42"/>
      <c r="W60" s="23" t="s">
        <v>3</v>
      </c>
      <c r="X60" s="23" t="s">
        <v>3</v>
      </c>
      <c r="Y60" s="42"/>
      <c r="Z60" s="42"/>
      <c r="AA60" s="24">
        <f>1.093*10^-3</f>
        <v>1.093E-3</v>
      </c>
      <c r="AB60" s="24">
        <v>1.004E-2</v>
      </c>
      <c r="AE60" s="55">
        <v>0.20699999999999999</v>
      </c>
      <c r="AF60" s="55"/>
      <c r="AG60" s="55">
        <v>0.39300000000000002</v>
      </c>
      <c r="AH60" s="55"/>
    </row>
    <row r="61" spans="1:34" x14ac:dyDescent="0.35">
      <c r="A61" s="17">
        <v>28</v>
      </c>
      <c r="B61" s="17">
        <v>1</v>
      </c>
      <c r="C61" s="18">
        <v>-10.651</v>
      </c>
      <c r="D61" s="18">
        <v>-14.750999999999999</v>
      </c>
      <c r="E61" s="41"/>
      <c r="F61" s="41"/>
      <c r="G61" s="19">
        <v>-14.739000000000001</v>
      </c>
      <c r="H61" s="19">
        <v>-20.216000000000001</v>
      </c>
      <c r="I61" s="41"/>
      <c r="J61" s="41"/>
      <c r="K61" s="20">
        <v>11.176</v>
      </c>
      <c r="L61" s="20">
        <v>22.831</v>
      </c>
      <c r="M61" s="41"/>
      <c r="N61" s="41"/>
      <c r="O61" s="21">
        <v>-2.4760000000000001E-2</v>
      </c>
      <c r="P61" s="21">
        <v>-2.9270000000000001E-2</v>
      </c>
      <c r="Q61" s="42"/>
      <c r="R61" s="42"/>
      <c r="S61" s="22">
        <v>7.6839000000000004</v>
      </c>
      <c r="T61" s="22">
        <v>4.2350000000000003</v>
      </c>
      <c r="U61" s="42"/>
      <c r="V61" s="42"/>
      <c r="W61" s="23">
        <v>-0.1452</v>
      </c>
      <c r="X61" s="23">
        <v>-4.2000000000000003E-2</v>
      </c>
      <c r="Y61" s="42"/>
      <c r="Z61" s="42"/>
      <c r="AA61" s="24">
        <f>1.349*10^-3</f>
        <v>1.3489999999999999E-3</v>
      </c>
      <c r="AB61" s="24">
        <v>1.0829999999999999E-2</v>
      </c>
      <c r="AE61" s="54">
        <v>0.20200000000000001</v>
      </c>
      <c r="AF61" s="54">
        <v>0.21199999999999999</v>
      </c>
      <c r="AG61" s="54">
        <v>0.36799999999999999</v>
      </c>
      <c r="AH61" s="54">
        <v>0.38600000000000001</v>
      </c>
    </row>
    <row r="62" spans="1:34" x14ac:dyDescent="0.35">
      <c r="A62" s="17">
        <v>28</v>
      </c>
      <c r="B62" s="17">
        <v>2</v>
      </c>
      <c r="C62" s="18">
        <v>-14.227</v>
      </c>
      <c r="D62" s="18">
        <v>-15.132</v>
      </c>
      <c r="E62" s="41"/>
      <c r="F62" s="41"/>
      <c r="G62" s="19">
        <v>-14.759</v>
      </c>
      <c r="H62" s="19">
        <v>-19.495999999999999</v>
      </c>
      <c r="I62" s="41"/>
      <c r="J62" s="41"/>
      <c r="K62" s="20">
        <v>7.2352999999999996</v>
      </c>
      <c r="L62" s="20">
        <v>23.29</v>
      </c>
      <c r="M62" s="41"/>
      <c r="N62" s="41"/>
      <c r="O62" s="21">
        <v>-3.585E-2</v>
      </c>
      <c r="P62" s="21">
        <v>-1.7680000000000001E-2</v>
      </c>
      <c r="Q62" s="42"/>
      <c r="R62" s="42"/>
      <c r="S62" s="22">
        <v>7.6839000000000004</v>
      </c>
      <c r="T62" s="22">
        <v>4.2350000000000003</v>
      </c>
      <c r="U62" s="42"/>
      <c r="V62" s="42"/>
      <c r="W62" s="23" t="s">
        <v>3</v>
      </c>
      <c r="X62" s="23" t="s">
        <v>3</v>
      </c>
      <c r="Y62" s="42"/>
      <c r="Z62" s="42"/>
      <c r="AA62" s="24">
        <v>1.308E-2</v>
      </c>
      <c r="AB62" s="24">
        <v>1.191E-2</v>
      </c>
      <c r="AE62" s="55">
        <v>0.223</v>
      </c>
      <c r="AF62" s="55"/>
      <c r="AG62" s="55">
        <v>0.40400000000000003</v>
      </c>
      <c r="AH62" s="55"/>
    </row>
    <row r="63" spans="1:34" x14ac:dyDescent="0.35">
      <c r="A63" s="17">
        <v>29</v>
      </c>
      <c r="B63" s="17">
        <v>1</v>
      </c>
      <c r="C63" s="18">
        <v>-7.7408999999999999</v>
      </c>
      <c r="D63" s="18">
        <v>-14.548</v>
      </c>
      <c r="E63" s="41"/>
      <c r="F63" s="41"/>
      <c r="G63" s="19">
        <v>-16.077999999999999</v>
      </c>
      <c r="H63" s="19">
        <v>-20.114999999999998</v>
      </c>
      <c r="I63" s="41"/>
      <c r="J63" s="41"/>
      <c r="K63" s="20">
        <v>16.335000000000001</v>
      </c>
      <c r="L63" s="20">
        <v>25.416</v>
      </c>
      <c r="M63" s="41"/>
      <c r="N63" s="41"/>
      <c r="O63" s="21">
        <v>-3.6679999999999997E-2</v>
      </c>
      <c r="P63" s="21">
        <v>-1.6080000000000001E-2</v>
      </c>
      <c r="Q63" s="42"/>
      <c r="R63" s="42"/>
      <c r="S63" s="22">
        <v>7.7622</v>
      </c>
      <c r="T63" s="22">
        <v>5.6805000000000003</v>
      </c>
      <c r="U63" s="42"/>
      <c r="V63" s="42"/>
      <c r="W63" s="23">
        <v>-8.72E-2</v>
      </c>
      <c r="X63" s="23">
        <v>-0.11360000000000001</v>
      </c>
      <c r="Y63" s="42"/>
      <c r="Z63" s="42"/>
      <c r="AA63" s="24">
        <v>1.389E-2</v>
      </c>
      <c r="AB63" s="24">
        <f>6.01*10^-3</f>
        <v>6.0099999999999997E-3</v>
      </c>
      <c r="AE63" s="54">
        <v>0.23100000000000001</v>
      </c>
      <c r="AF63" s="54">
        <v>0.22500000000000001</v>
      </c>
      <c r="AG63" s="54">
        <v>0.36199999999999999</v>
      </c>
      <c r="AH63" s="54">
        <v>0.36199999999999999</v>
      </c>
    </row>
    <row r="64" spans="1:34" x14ac:dyDescent="0.35">
      <c r="A64" s="17">
        <v>29</v>
      </c>
      <c r="B64" s="17">
        <v>2</v>
      </c>
      <c r="C64" s="18">
        <v>-10.347</v>
      </c>
      <c r="D64" s="18">
        <v>-15.292</v>
      </c>
      <c r="E64" s="41"/>
      <c r="F64" s="41"/>
      <c r="G64" s="19">
        <v>-15.023999999999999</v>
      </c>
      <c r="H64" s="19">
        <v>-20.885999999999999</v>
      </c>
      <c r="I64" s="41"/>
      <c r="J64" s="41"/>
      <c r="K64" s="20">
        <v>5.9181999999999997</v>
      </c>
      <c r="L64" s="20">
        <v>27.824000000000002</v>
      </c>
      <c r="M64" s="41"/>
      <c r="N64" s="41"/>
      <c r="O64" s="21">
        <v>-3.7490000000000002E-2</v>
      </c>
      <c r="P64" s="21">
        <v>-1.891E-2</v>
      </c>
      <c r="Q64" s="42"/>
      <c r="R64" s="42"/>
      <c r="S64" s="22">
        <v>7.1513</v>
      </c>
      <c r="T64" s="22">
        <v>7.1767000000000003</v>
      </c>
      <c r="U64" s="42"/>
      <c r="V64" s="42"/>
      <c r="W64" s="23" t="s">
        <v>3</v>
      </c>
      <c r="X64" s="23" t="s">
        <v>3</v>
      </c>
      <c r="Y64" s="42"/>
      <c r="Z64" s="42"/>
      <c r="AA64" s="24">
        <v>3.8530000000000002E-2</v>
      </c>
      <c r="AB64" s="24">
        <f>6*10^-3</f>
        <v>6.0000000000000001E-3</v>
      </c>
      <c r="AE64" s="55">
        <v>0.219</v>
      </c>
      <c r="AF64" s="55"/>
      <c r="AG64" s="55">
        <v>0.36299999999999999</v>
      </c>
      <c r="AH64" s="55"/>
    </row>
    <row r="65" spans="1:34" x14ac:dyDescent="0.35">
      <c r="A65" s="17">
        <v>30</v>
      </c>
      <c r="B65" s="17">
        <v>1</v>
      </c>
      <c r="C65" s="18">
        <v>-5.3013000000000003</v>
      </c>
      <c r="D65" s="18">
        <v>-14.939</v>
      </c>
      <c r="E65" s="41"/>
      <c r="F65" s="41"/>
      <c r="G65" s="19">
        <v>-14.048999999999999</v>
      </c>
      <c r="H65" s="19">
        <v>-20.550999999999998</v>
      </c>
      <c r="I65" s="41"/>
      <c r="J65" s="41"/>
      <c r="K65" s="20">
        <v>7.9187000000000003</v>
      </c>
      <c r="L65" s="20">
        <v>21.137</v>
      </c>
      <c r="M65" s="41"/>
      <c r="N65" s="41"/>
      <c r="O65" s="21">
        <v>-2.29E-2</v>
      </c>
      <c r="P65" s="21">
        <v>-2.3310000000000001E-2</v>
      </c>
      <c r="Q65" s="42"/>
      <c r="R65" s="42"/>
      <c r="S65" s="22">
        <v>9.0371000000000006</v>
      </c>
      <c r="T65" s="22">
        <v>7.3426999999999998</v>
      </c>
      <c r="U65" s="42"/>
      <c r="V65" s="42"/>
      <c r="W65" s="23">
        <v>-9.955E-2</v>
      </c>
      <c r="X65" s="23">
        <v>-0.18440000000000001</v>
      </c>
      <c r="Y65" s="42"/>
      <c r="Z65" s="42"/>
      <c r="AA65" s="24">
        <f>9.699*10^-3</f>
        <v>9.6989999999999993E-3</v>
      </c>
      <c r="AB65" s="24">
        <f>5.947*10^-3</f>
        <v>5.947E-3</v>
      </c>
      <c r="AE65" s="54">
        <v>0.16300000000000001</v>
      </c>
      <c r="AF65" s="54">
        <v>0.16800000000000001</v>
      </c>
      <c r="AG65" s="54">
        <v>0.26900000000000002</v>
      </c>
      <c r="AH65" s="54">
        <v>0.28899999999999998</v>
      </c>
    </row>
    <row r="66" spans="1:34" x14ac:dyDescent="0.35">
      <c r="A66" s="17">
        <v>30</v>
      </c>
      <c r="B66" s="17">
        <v>2</v>
      </c>
      <c r="C66" s="18">
        <v>-7.2813999999999997</v>
      </c>
      <c r="D66" s="18">
        <v>-15.266</v>
      </c>
      <c r="E66" s="41"/>
      <c r="F66" s="41"/>
      <c r="G66" s="19">
        <v>-16.657</v>
      </c>
      <c r="H66" s="19">
        <v>-20.815000000000001</v>
      </c>
      <c r="I66" s="41"/>
      <c r="J66" s="41"/>
      <c r="K66" s="20">
        <v>14.224</v>
      </c>
      <c r="L66" s="20">
        <v>19.446999999999999</v>
      </c>
      <c r="M66" s="41"/>
      <c r="N66" s="41"/>
      <c r="O66" s="21">
        <v>-2.3019999999999999E-2</v>
      </c>
      <c r="P66" s="21">
        <v>-1.1780000000000001E-2</v>
      </c>
      <c r="Q66" s="42"/>
      <c r="R66" s="42"/>
      <c r="S66" s="22">
        <v>8.6852999999999998</v>
      </c>
      <c r="T66" s="22">
        <v>6.6165000000000003</v>
      </c>
      <c r="U66" s="42"/>
      <c r="V66" s="42"/>
      <c r="W66" s="23" t="s">
        <v>3</v>
      </c>
      <c r="X66" s="23" t="s">
        <v>3</v>
      </c>
      <c r="Y66" s="42"/>
      <c r="Z66" s="42"/>
      <c r="AA66" s="24">
        <v>1.444E-2</v>
      </c>
      <c r="AB66" s="24">
        <f>9.835*10^-3</f>
        <v>9.8350000000000017E-3</v>
      </c>
      <c r="AE66" s="55">
        <v>0.17299999999999999</v>
      </c>
      <c r="AF66" s="55"/>
      <c r="AG66" s="55">
        <v>0.308</v>
      </c>
      <c r="AH66" s="55"/>
    </row>
    <row r="67" spans="1:34" x14ac:dyDescent="0.35">
      <c r="A67" s="17">
        <v>31</v>
      </c>
      <c r="B67" s="17">
        <v>1</v>
      </c>
      <c r="C67" s="18">
        <v>-4.1153000000000004</v>
      </c>
      <c r="D67" s="18">
        <v>-19.738</v>
      </c>
      <c r="E67" s="41"/>
      <c r="F67" s="41"/>
      <c r="G67" s="19">
        <v>-12.811</v>
      </c>
      <c r="H67" s="19">
        <v>-23.614999999999998</v>
      </c>
      <c r="I67" s="41"/>
      <c r="J67" s="41"/>
      <c r="K67" s="20">
        <v>6.3296999999999999</v>
      </c>
      <c r="L67" s="20">
        <v>21.966000000000001</v>
      </c>
      <c r="M67" s="41"/>
      <c r="N67" s="41"/>
      <c r="O67" s="21">
        <v>-1.133E-2</v>
      </c>
      <c r="P67" s="21">
        <f>-7.16*10^-3</f>
        <v>-7.1600000000000006E-3</v>
      </c>
      <c r="Q67" s="42"/>
      <c r="R67" s="42"/>
      <c r="S67" s="22">
        <v>10.877000000000001</v>
      </c>
      <c r="T67" s="22">
        <v>7.7461000000000002</v>
      </c>
      <c r="U67" s="42"/>
      <c r="V67" s="42"/>
      <c r="W67" s="23">
        <v>-0.111</v>
      </c>
      <c r="X67" s="23">
        <v>-0.1522</v>
      </c>
      <c r="Y67" s="42"/>
      <c r="Z67" s="42"/>
      <c r="AA67" s="24">
        <f>1.579*10^-3</f>
        <v>1.5789999999999999E-3</v>
      </c>
      <c r="AB67" s="24">
        <f>2.44*10^-3</f>
        <v>2.4399999999999999E-3</v>
      </c>
      <c r="AE67" s="54">
        <v>7.0000000000000007E-2</v>
      </c>
      <c r="AF67" s="54">
        <v>7.5999999999999998E-2</v>
      </c>
      <c r="AG67" s="54">
        <v>0.246</v>
      </c>
      <c r="AH67" s="54">
        <v>0.252</v>
      </c>
    </row>
    <row r="68" spans="1:34" x14ac:dyDescent="0.35">
      <c r="A68" s="17">
        <v>31</v>
      </c>
      <c r="B68" s="17">
        <v>2</v>
      </c>
      <c r="C68" s="18">
        <v>-3.8601000000000001</v>
      </c>
      <c r="D68" s="18">
        <v>-17.538</v>
      </c>
      <c r="E68" s="41"/>
      <c r="F68" s="41"/>
      <c r="G68" s="19">
        <v>-13.106</v>
      </c>
      <c r="H68" s="19">
        <v>-24.027999999999999</v>
      </c>
      <c r="I68" s="41"/>
      <c r="J68" s="41"/>
      <c r="K68" s="20">
        <v>11.368</v>
      </c>
      <c r="L68" s="20">
        <v>20.224</v>
      </c>
      <c r="M68" s="41"/>
      <c r="N68" s="41"/>
      <c r="O68" s="21">
        <v>-1.247E-2</v>
      </c>
      <c r="P68" s="21">
        <v>-0.107</v>
      </c>
      <c r="Q68" s="42"/>
      <c r="R68" s="42"/>
      <c r="S68" s="22">
        <v>11.021000000000001</v>
      </c>
      <c r="T68" s="22">
        <v>6.6440999999999999</v>
      </c>
      <c r="U68" s="42"/>
      <c r="V68" s="42"/>
      <c r="W68" s="23" t="s">
        <v>3</v>
      </c>
      <c r="X68" s="23" t="s">
        <v>3</v>
      </c>
      <c r="Y68" s="42"/>
      <c r="Z68" s="42"/>
      <c r="AA68" s="24">
        <f>6.203*10^-3</f>
        <v>6.2030000000000002E-3</v>
      </c>
      <c r="AB68" s="24">
        <f>6.574*10^-3</f>
        <v>6.574E-3</v>
      </c>
      <c r="AE68" s="55">
        <v>8.3000000000000004E-2</v>
      </c>
      <c r="AF68" s="55"/>
      <c r="AG68" s="55">
        <v>0.25700000000000001</v>
      </c>
      <c r="AH68" s="55"/>
    </row>
    <row r="69" spans="1:34" x14ac:dyDescent="0.35">
      <c r="A69" s="17">
        <v>32</v>
      </c>
      <c r="B69" s="17">
        <v>1</v>
      </c>
      <c r="C69" s="18">
        <v>-4.5495000000000001</v>
      </c>
      <c r="D69" s="18">
        <v>-15.791</v>
      </c>
      <c r="E69" s="41"/>
      <c r="F69" s="41"/>
      <c r="G69" s="19">
        <v>-13.055</v>
      </c>
      <c r="H69" s="19">
        <v>-22.832999999999998</v>
      </c>
      <c r="I69" s="41"/>
      <c r="J69" s="41"/>
      <c r="K69" s="20">
        <v>12.451000000000001</v>
      </c>
      <c r="L69" s="20">
        <v>33.798999999999999</v>
      </c>
      <c r="M69" s="41"/>
      <c r="N69" s="41"/>
      <c r="O69" s="21">
        <v>-2.196E-2</v>
      </c>
      <c r="P69" s="21" t="s">
        <v>3</v>
      </c>
      <c r="Q69" s="42"/>
      <c r="R69" s="42"/>
      <c r="S69" s="22">
        <v>8.0896000000000008</v>
      </c>
      <c r="T69" s="22">
        <v>5.0769000000000002</v>
      </c>
      <c r="U69" s="42"/>
      <c r="V69" s="42"/>
      <c r="W69" s="23">
        <v>-0.1046</v>
      </c>
      <c r="X69" s="23">
        <v>-0.15970000000000001</v>
      </c>
      <c r="Y69" s="42"/>
      <c r="Z69" s="42"/>
      <c r="AA69" s="24">
        <v>2.4369999999999999E-2</v>
      </c>
      <c r="AB69" s="24">
        <f>2.117*10^-3</f>
        <v>2.117E-3</v>
      </c>
      <c r="AE69" s="54">
        <v>0.10100000000000001</v>
      </c>
      <c r="AF69" s="54">
        <v>0.158</v>
      </c>
      <c r="AG69" s="54">
        <v>0.30299999999999999</v>
      </c>
      <c r="AH69" s="54">
        <v>0.318</v>
      </c>
    </row>
    <row r="70" spans="1:34" x14ac:dyDescent="0.35">
      <c r="A70" s="17">
        <v>32</v>
      </c>
      <c r="B70" s="17">
        <v>2</v>
      </c>
      <c r="C70" s="18">
        <v>-5.3394000000000004</v>
      </c>
      <c r="D70" s="18">
        <v>-19.576000000000001</v>
      </c>
      <c r="E70" s="41"/>
      <c r="F70" s="41"/>
      <c r="G70" s="19">
        <v>-14.385</v>
      </c>
      <c r="H70" s="19">
        <v>-22.884</v>
      </c>
      <c r="I70" s="41"/>
      <c r="J70" s="41"/>
      <c r="K70" s="20">
        <v>12.686</v>
      </c>
      <c r="L70" s="20">
        <v>31.146999999999998</v>
      </c>
      <c r="M70" s="41"/>
      <c r="N70" s="41"/>
      <c r="O70" s="21">
        <v>-2.4479999999999998E-2</v>
      </c>
      <c r="P70" s="21">
        <f>-7.96*10^-3</f>
        <v>-7.9600000000000001E-3</v>
      </c>
      <c r="Q70" s="42"/>
      <c r="R70" s="42"/>
      <c r="S70" s="22">
        <v>8.8504000000000005</v>
      </c>
      <c r="T70" s="22">
        <v>4.5138999999999996</v>
      </c>
      <c r="U70" s="42"/>
      <c r="V70" s="42"/>
      <c r="W70" s="23" t="s">
        <v>3</v>
      </c>
      <c r="X70" s="23" t="s">
        <v>3</v>
      </c>
      <c r="Y70" s="42"/>
      <c r="Z70" s="42"/>
      <c r="AA70" s="24">
        <v>1.7739999999999999E-2</v>
      </c>
      <c r="AB70" s="24">
        <f>5.87*10^-3</f>
        <v>5.8700000000000002E-3</v>
      </c>
      <c r="AE70" s="55">
        <v>0.215</v>
      </c>
      <c r="AF70" s="55"/>
      <c r="AG70" s="55">
        <v>0.33400000000000002</v>
      </c>
      <c r="AH70" s="55"/>
    </row>
    <row r="71" spans="1:34" x14ac:dyDescent="0.35">
      <c r="A71" s="17">
        <v>33</v>
      </c>
      <c r="B71" s="17">
        <v>1</v>
      </c>
      <c r="C71" s="18">
        <v>-8.0786999999999995</v>
      </c>
      <c r="D71" s="18">
        <v>-15.385</v>
      </c>
      <c r="E71" s="41"/>
      <c r="F71" s="41"/>
      <c r="G71" s="19">
        <v>-14.871</v>
      </c>
      <c r="H71" s="19">
        <v>-29.597000000000001</v>
      </c>
      <c r="I71" s="41"/>
      <c r="J71" s="41"/>
      <c r="K71" s="20">
        <v>13.416</v>
      </c>
      <c r="L71" s="20">
        <v>24.904</v>
      </c>
      <c r="M71" s="41"/>
      <c r="N71" s="41"/>
      <c r="O71" s="21">
        <v>-2.9579999999999999E-2</v>
      </c>
      <c r="P71" s="21">
        <f>-7.8*10^-3</f>
        <v>-7.7999999999999996E-3</v>
      </c>
      <c r="Q71" s="42"/>
      <c r="R71" s="42"/>
      <c r="S71" s="22">
        <v>8.8249999999999993</v>
      </c>
      <c r="T71" s="22">
        <v>5.8579999999999997</v>
      </c>
      <c r="U71" s="42"/>
      <c r="V71" s="42"/>
      <c r="W71" s="23">
        <v>-8.5290000000000005E-2</v>
      </c>
      <c r="X71" s="23">
        <v>-9.5670000000000005E-2</v>
      </c>
      <c r="Y71" s="42"/>
      <c r="Z71" s="42"/>
      <c r="AA71" s="24">
        <f>4.105*10^-3</f>
        <v>4.1050000000000001E-3</v>
      </c>
      <c r="AB71" s="24">
        <f>4.958*10^-3</f>
        <v>4.9580000000000006E-3</v>
      </c>
      <c r="AE71" s="54">
        <v>0.19700000000000001</v>
      </c>
      <c r="AF71" s="54">
        <v>0.18099999999999999</v>
      </c>
      <c r="AG71" s="54">
        <v>0.32300000000000001</v>
      </c>
      <c r="AH71" s="54">
        <v>0.33900000000000002</v>
      </c>
    </row>
    <row r="72" spans="1:34" x14ac:dyDescent="0.35">
      <c r="A72" s="17">
        <v>33</v>
      </c>
      <c r="B72" s="17">
        <v>2</v>
      </c>
      <c r="C72" s="18">
        <v>-11.157999999999999</v>
      </c>
      <c r="D72" s="18">
        <v>-14.74</v>
      </c>
      <c r="E72" s="41"/>
      <c r="F72" s="41"/>
      <c r="G72" s="19">
        <v>-13.846</v>
      </c>
      <c r="H72" s="19">
        <v>-30.786000000000001</v>
      </c>
      <c r="I72" s="41"/>
      <c r="J72" s="41"/>
      <c r="K72" s="20">
        <v>9.0329999999999995</v>
      </c>
      <c r="L72" s="20">
        <v>22.599</v>
      </c>
      <c r="M72" s="41"/>
      <c r="N72" s="41"/>
      <c r="O72" s="21">
        <v>-2.7269999999999999E-2</v>
      </c>
      <c r="P72" s="21">
        <v>-1.2460000000000001E-2</v>
      </c>
      <c r="Q72" s="42"/>
      <c r="R72" s="42"/>
      <c r="S72" s="22">
        <v>9.2727000000000004</v>
      </c>
      <c r="T72" s="22">
        <v>5.5789999999999997</v>
      </c>
      <c r="U72" s="42"/>
      <c r="V72" s="42"/>
      <c r="W72" s="23" t="s">
        <v>3</v>
      </c>
      <c r="X72" s="23" t="s">
        <v>3</v>
      </c>
      <c r="Y72" s="42"/>
      <c r="Z72" s="42"/>
      <c r="AA72" s="24">
        <f>1.421*10^-3</f>
        <v>1.4210000000000002E-3</v>
      </c>
      <c r="AB72" s="24">
        <f>0.03316</f>
        <v>3.3160000000000002E-2</v>
      </c>
      <c r="AE72" s="55">
        <v>0.16400000000000001</v>
      </c>
      <c r="AF72" s="55"/>
      <c r="AG72" s="55">
        <v>0.35499999999999998</v>
      </c>
      <c r="AH72" s="55"/>
    </row>
    <row r="73" spans="1:34" x14ac:dyDescent="0.35">
      <c r="A73" s="17">
        <v>34</v>
      </c>
      <c r="B73" s="17">
        <v>1</v>
      </c>
      <c r="C73" s="18">
        <v>-12.138</v>
      </c>
      <c r="D73" s="18">
        <v>-12.265000000000001</v>
      </c>
      <c r="E73" s="41"/>
      <c r="F73" s="41"/>
      <c r="G73" s="19">
        <v>-12.923</v>
      </c>
      <c r="H73" s="19">
        <v>-20.266999999999999</v>
      </c>
      <c r="I73" s="41"/>
      <c r="J73" s="41"/>
      <c r="K73" s="20">
        <v>10.794</v>
      </c>
      <c r="L73" s="20">
        <v>22.181999999999999</v>
      </c>
      <c r="M73" s="41"/>
      <c r="N73" s="41"/>
      <c r="O73" s="21">
        <v>-3.141E-2</v>
      </c>
      <c r="P73" s="21">
        <f>-8.65*10^-3</f>
        <v>-8.6499999999999997E-3</v>
      </c>
      <c r="Q73" s="42"/>
      <c r="R73" s="42"/>
      <c r="S73" s="22">
        <v>9.0618999999999996</v>
      </c>
      <c r="T73" s="22">
        <v>6.6036000000000001</v>
      </c>
      <c r="U73" s="42"/>
      <c r="V73" s="42"/>
      <c r="W73" s="23">
        <v>-6.5009999999999998E-2</v>
      </c>
      <c r="X73" s="23">
        <v>-8.5330000000000003E-2</v>
      </c>
      <c r="Y73" s="42"/>
      <c r="Z73" s="42"/>
      <c r="AA73" s="24">
        <f>6.206*10^-3</f>
        <v>6.2060000000000006E-3</v>
      </c>
      <c r="AB73" s="24">
        <f>9.962*10^-3</f>
        <v>9.9620000000000004E-3</v>
      </c>
      <c r="AE73" s="54">
        <v>0.192</v>
      </c>
      <c r="AF73" s="54">
        <v>0.188</v>
      </c>
      <c r="AG73" s="54">
        <v>0.26500000000000001</v>
      </c>
      <c r="AH73" s="54">
        <v>0.28399999999999997</v>
      </c>
    </row>
    <row r="74" spans="1:34" x14ac:dyDescent="0.35">
      <c r="A74" s="17">
        <v>34</v>
      </c>
      <c r="B74" s="17">
        <v>2</v>
      </c>
      <c r="C74" s="18">
        <v>-14.122</v>
      </c>
      <c r="D74" s="18">
        <v>-13.132999999999999</v>
      </c>
      <c r="E74" s="41"/>
      <c r="F74" s="41"/>
      <c r="G74" s="19">
        <v>-12.491</v>
      </c>
      <c r="H74" s="19">
        <v>-21.074000000000002</v>
      </c>
      <c r="I74" s="41"/>
      <c r="J74" s="41"/>
      <c r="K74" s="20">
        <v>8.0109999999999992</v>
      </c>
      <c r="L74" s="20">
        <v>21.568999999999999</v>
      </c>
      <c r="M74" s="41"/>
      <c r="N74" s="41"/>
      <c r="O74" s="21">
        <v>-2.3900000000000001E-2</v>
      </c>
      <c r="P74" s="21">
        <f>-5.99*10^-3</f>
        <v>-5.9900000000000005E-3</v>
      </c>
      <c r="Q74" s="42"/>
      <c r="R74" s="42"/>
      <c r="S74" s="22">
        <v>9.7622</v>
      </c>
      <c r="T74" s="22">
        <v>6.9889999999999999</v>
      </c>
      <c r="U74" s="42"/>
      <c r="V74" s="42"/>
      <c r="W74" s="23" t="s">
        <v>3</v>
      </c>
      <c r="X74" s="23" t="s">
        <v>3</v>
      </c>
      <c r="Y74" s="42"/>
      <c r="Z74" s="42"/>
      <c r="AA74" s="24">
        <f>0.01859</f>
        <v>1.8589999999999999E-2</v>
      </c>
      <c r="AB74" s="24">
        <v>1.8319999999999999E-2</v>
      </c>
      <c r="AE74" s="55">
        <v>0.184</v>
      </c>
      <c r="AF74" s="55"/>
      <c r="AG74" s="55">
        <v>0.30299999999999999</v>
      </c>
      <c r="AH74" s="55"/>
    </row>
    <row r="75" spans="1:34" x14ac:dyDescent="0.35">
      <c r="A75" s="17">
        <v>35</v>
      </c>
      <c r="B75" s="17">
        <v>1</v>
      </c>
      <c r="C75" s="18">
        <v>-11.369</v>
      </c>
      <c r="D75" s="18">
        <v>-14.606</v>
      </c>
      <c r="E75" s="41"/>
      <c r="F75" s="41"/>
      <c r="G75" s="19">
        <v>-12.436</v>
      </c>
      <c r="H75" s="19">
        <v>-15.571</v>
      </c>
      <c r="I75" s="41"/>
      <c r="J75" s="41"/>
      <c r="K75" s="20">
        <v>9.6922999999999995</v>
      </c>
      <c r="L75" s="20">
        <v>16.782</v>
      </c>
      <c r="M75" s="41"/>
      <c r="N75" s="41"/>
      <c r="O75" s="21">
        <v>-2.563E-2</v>
      </c>
      <c r="P75" s="21">
        <f>-9.02*10^-3</f>
        <v>-9.0200000000000002E-3</v>
      </c>
      <c r="Q75" s="42"/>
      <c r="R75" s="42"/>
      <c r="S75" s="22">
        <v>9.0785999999999998</v>
      </c>
      <c r="T75" s="22">
        <v>6.1775000000000002</v>
      </c>
      <c r="U75" s="42"/>
      <c r="V75" s="42"/>
      <c r="W75" s="23">
        <v>-8.7440000000000004E-2</v>
      </c>
      <c r="X75" s="23">
        <v>-8.5099999999999995E-2</v>
      </c>
      <c r="Y75" s="42"/>
      <c r="Z75" s="42"/>
      <c r="AA75" s="24">
        <f>5.368*10^-3</f>
        <v>5.3680000000000004E-3</v>
      </c>
      <c r="AB75" s="24">
        <f>5.67*10^-3</f>
        <v>5.6699999999999997E-3</v>
      </c>
      <c r="AE75" s="54">
        <v>0.189</v>
      </c>
      <c r="AF75" s="54">
        <v>0.192</v>
      </c>
      <c r="AG75" s="54">
        <v>0.28299999999999997</v>
      </c>
      <c r="AH75" s="54">
        <v>0.29699999999999999</v>
      </c>
    </row>
    <row r="76" spans="1:34" x14ac:dyDescent="0.35">
      <c r="A76" s="17">
        <v>35</v>
      </c>
      <c r="B76" s="17">
        <v>2</v>
      </c>
      <c r="C76" s="18">
        <v>-14.28</v>
      </c>
      <c r="D76" s="18">
        <v>-16.664999999999999</v>
      </c>
      <c r="E76" s="41"/>
      <c r="F76" s="41"/>
      <c r="G76" s="19">
        <v>-11.91</v>
      </c>
      <c r="H76" s="19">
        <v>-16.533999999999999</v>
      </c>
      <c r="I76" s="41"/>
      <c r="J76" s="41"/>
      <c r="K76" s="20">
        <v>9</v>
      </c>
      <c r="L76" s="20">
        <v>16.782</v>
      </c>
      <c r="M76" s="41"/>
      <c r="N76" s="41"/>
      <c r="O76" s="21">
        <v>-1.9550000000000001E-2</v>
      </c>
      <c r="P76" s="21">
        <f>-9.56*10^-3</f>
        <v>-9.5600000000000008E-3</v>
      </c>
      <c r="Q76" s="42"/>
      <c r="R76" s="42"/>
      <c r="S76" s="22">
        <v>9.2586999999999993</v>
      </c>
      <c r="T76" s="22">
        <v>6.4717000000000002</v>
      </c>
      <c r="U76" s="42"/>
      <c r="V76" s="42"/>
      <c r="W76" s="23" t="s">
        <v>3</v>
      </c>
      <c r="X76" s="23" t="s">
        <v>3</v>
      </c>
      <c r="Y76" s="42"/>
      <c r="Z76" s="42"/>
      <c r="AA76" s="24">
        <f>4.85*10^-3</f>
        <v>4.8500000000000001E-3</v>
      </c>
      <c r="AB76" s="24">
        <f>7.47*10^-3</f>
        <v>7.4700000000000001E-3</v>
      </c>
      <c r="AE76" s="55">
        <v>0.19500000000000001</v>
      </c>
      <c r="AF76" s="55"/>
      <c r="AG76" s="55">
        <v>0.311</v>
      </c>
      <c r="AH76" s="55"/>
    </row>
    <row r="77" spans="1:34" x14ac:dyDescent="0.35">
      <c r="A77" s="17">
        <v>36</v>
      </c>
      <c r="B77" s="17">
        <v>1</v>
      </c>
      <c r="C77" s="18">
        <v>-11.845000000000001</v>
      </c>
      <c r="D77" s="18">
        <v>-10.587999999999999</v>
      </c>
      <c r="E77" s="41"/>
      <c r="F77" s="41"/>
      <c r="G77" s="19">
        <v>-14.8</v>
      </c>
      <c r="H77" s="19">
        <v>-22.509</v>
      </c>
      <c r="I77" s="41"/>
      <c r="J77" s="41"/>
      <c r="K77" s="20">
        <v>12.385999999999999</v>
      </c>
      <c r="L77" s="20">
        <v>30.286999999999999</v>
      </c>
      <c r="M77" s="41"/>
      <c r="N77" s="41"/>
      <c r="O77" s="21">
        <v>-2.1930000000000002E-2</v>
      </c>
      <c r="P77" s="21">
        <v>-1.4749999999999999E-2</v>
      </c>
      <c r="Q77" s="42"/>
      <c r="R77" s="42"/>
      <c r="S77" s="22">
        <v>9.3828999999999994</v>
      </c>
      <c r="T77" s="22">
        <v>6.6847000000000003</v>
      </c>
      <c r="U77" s="42"/>
      <c r="V77" s="42"/>
      <c r="W77" s="23">
        <v>-5.3710000000000001E-2</v>
      </c>
      <c r="X77" s="23">
        <v>-7.1809999999999999E-2</v>
      </c>
      <c r="Y77" s="42"/>
      <c r="Z77" s="42"/>
      <c r="AA77" s="24">
        <f>4.105*10^-3</f>
        <v>4.1050000000000001E-3</v>
      </c>
      <c r="AB77" s="24">
        <v>1.056E-2</v>
      </c>
      <c r="AE77" s="54">
        <v>0.124</v>
      </c>
      <c r="AF77" s="54">
        <v>0.14899999999999999</v>
      </c>
      <c r="AG77" s="54">
        <v>0.28199999999999997</v>
      </c>
      <c r="AH77" s="54">
        <v>0.29599999999999999</v>
      </c>
    </row>
    <row r="78" spans="1:34" x14ac:dyDescent="0.35">
      <c r="A78" s="17">
        <v>36</v>
      </c>
      <c r="B78" s="17">
        <v>2</v>
      </c>
      <c r="C78" s="18">
        <v>-10.394</v>
      </c>
      <c r="D78" s="18">
        <v>-13.631</v>
      </c>
      <c r="E78" s="41"/>
      <c r="F78" s="41"/>
      <c r="G78" s="19">
        <v>-13.866</v>
      </c>
      <c r="H78" s="19">
        <v>-23.847999999999999</v>
      </c>
      <c r="I78" s="41"/>
      <c r="J78" s="41"/>
      <c r="K78" s="20">
        <v>9.9838000000000005</v>
      </c>
      <c r="L78" s="20">
        <v>31.120999999999999</v>
      </c>
      <c r="M78" s="41"/>
      <c r="N78" s="41"/>
      <c r="O78" s="21">
        <v>-2.0459999999999999E-2</v>
      </c>
      <c r="P78" s="21">
        <v>-1.0149999999999999E-2</v>
      </c>
      <c r="Q78" s="42"/>
      <c r="R78" s="42"/>
      <c r="S78" s="22">
        <v>9.8600999999999992</v>
      </c>
      <c r="T78" s="22">
        <v>7.0803000000000003</v>
      </c>
      <c r="U78" s="42"/>
      <c r="V78" s="42"/>
      <c r="W78" s="23" t="s">
        <v>3</v>
      </c>
      <c r="X78" s="23" t="s">
        <v>3</v>
      </c>
      <c r="Y78" s="42"/>
      <c r="Z78" s="42"/>
      <c r="AA78" s="24">
        <f>5.263*10^-3</f>
        <v>5.2630000000000003E-3</v>
      </c>
      <c r="AB78" s="24">
        <f>9.158*10^-3</f>
        <v>9.1579999999999995E-3</v>
      </c>
      <c r="AE78" s="55">
        <v>0.17299999999999999</v>
      </c>
      <c r="AF78" s="55"/>
      <c r="AG78" s="55">
        <v>0.311</v>
      </c>
      <c r="AH78" s="55"/>
    </row>
    <row r="79" spans="1:34" x14ac:dyDescent="0.35">
      <c r="A79" s="17">
        <v>37</v>
      </c>
      <c r="B79" s="17">
        <v>1</v>
      </c>
      <c r="C79" s="18">
        <v>-11.968999999999999</v>
      </c>
      <c r="D79" s="18">
        <v>-15.313000000000001</v>
      </c>
      <c r="E79" s="41"/>
      <c r="F79" s="41"/>
      <c r="G79" s="19">
        <v>-19.07</v>
      </c>
      <c r="H79" s="19">
        <v>-18.786000000000001</v>
      </c>
      <c r="I79" s="41"/>
      <c r="J79" s="41"/>
      <c r="K79" s="20">
        <v>15.180999999999999</v>
      </c>
      <c r="L79" s="20">
        <v>15.676</v>
      </c>
      <c r="M79" s="41"/>
      <c r="N79" s="41"/>
      <c r="O79" s="21">
        <v>-1.9529999999999999E-2</v>
      </c>
      <c r="P79" s="21">
        <f>-4.92*10^-3</f>
        <v>-4.9199999999999999E-3</v>
      </c>
      <c r="Q79" s="42"/>
      <c r="R79" s="42"/>
      <c r="S79" s="22">
        <v>8.7143999999999995</v>
      </c>
      <c r="T79" s="22">
        <v>5.8935000000000004</v>
      </c>
      <c r="U79" s="42"/>
      <c r="V79" s="42"/>
      <c r="W79" s="23">
        <v>-8.3659999999999998E-2</v>
      </c>
      <c r="X79" s="23">
        <v>-8.5940000000000003E-2</v>
      </c>
      <c r="Y79" s="42"/>
      <c r="Z79" s="42"/>
      <c r="AA79" s="24">
        <f>1.353*10^-3</f>
        <v>1.353E-3</v>
      </c>
      <c r="AB79" s="24">
        <f>0.05368</f>
        <v>5.3679999999999999E-2</v>
      </c>
      <c r="AE79" s="54">
        <v>0.22</v>
      </c>
      <c r="AF79" s="54">
        <v>0.22500000000000001</v>
      </c>
      <c r="AG79" s="54">
        <v>0.33700000000000002</v>
      </c>
      <c r="AH79" s="54">
        <v>0.35</v>
      </c>
    </row>
    <row r="80" spans="1:34" x14ac:dyDescent="0.35">
      <c r="A80" s="17">
        <v>37</v>
      </c>
      <c r="B80" s="17">
        <v>2</v>
      </c>
      <c r="C80" s="18">
        <v>-8.8836999999999993</v>
      </c>
      <c r="D80" s="18">
        <v>-15.464</v>
      </c>
      <c r="E80" s="41"/>
      <c r="F80" s="41"/>
      <c r="G80" s="19">
        <v>-15.926</v>
      </c>
      <c r="H80" s="19">
        <v>-19.597999999999999</v>
      </c>
      <c r="I80" s="41"/>
      <c r="J80" s="41"/>
      <c r="K80" s="20">
        <v>10.253</v>
      </c>
      <c r="L80" s="20">
        <v>18.745999999999999</v>
      </c>
      <c r="M80" s="41"/>
      <c r="N80" s="41"/>
      <c r="O80" s="21">
        <v>-2.3560000000000001E-2</v>
      </c>
      <c r="P80" s="21">
        <f>-7.47*10^-3</f>
        <v>-7.4700000000000001E-3</v>
      </c>
      <c r="Q80" s="42"/>
      <c r="R80" s="42"/>
      <c r="S80" s="22">
        <v>8.7143999999999995</v>
      </c>
      <c r="T80" s="22">
        <v>5.0414000000000003</v>
      </c>
      <c r="U80" s="42"/>
      <c r="V80" s="42"/>
      <c r="W80" s="23" t="s">
        <v>3</v>
      </c>
      <c r="X80" s="23" t="s">
        <v>3</v>
      </c>
      <c r="Y80" s="42"/>
      <c r="Z80" s="42"/>
      <c r="AA80" s="24">
        <v>1.6410000000000001E-2</v>
      </c>
      <c r="AB80" s="24">
        <v>1.137E-2</v>
      </c>
      <c r="AE80" s="55">
        <v>0.23100000000000001</v>
      </c>
      <c r="AF80" s="55"/>
      <c r="AG80" s="55">
        <v>0.36299999999999999</v>
      </c>
      <c r="AH80" s="55"/>
    </row>
    <row r="81" spans="1:34" x14ac:dyDescent="0.35">
      <c r="A81" s="17">
        <v>38</v>
      </c>
      <c r="B81" s="17">
        <v>1</v>
      </c>
      <c r="C81" s="18">
        <v>-13.978</v>
      </c>
      <c r="D81" s="18">
        <v>-12.989000000000001</v>
      </c>
      <c r="E81" s="41"/>
      <c r="F81" s="41"/>
      <c r="G81" s="19">
        <v>-18.178000000000001</v>
      </c>
      <c r="H81" s="19">
        <v>-25.43</v>
      </c>
      <c r="I81" s="41"/>
      <c r="J81" s="41"/>
      <c r="K81" s="20">
        <v>13.49</v>
      </c>
      <c r="L81" s="20">
        <v>16.253</v>
      </c>
      <c r="M81" s="41"/>
      <c r="N81" s="41"/>
      <c r="O81" s="21">
        <v>-2.6880000000000001E-2</v>
      </c>
      <c r="P81" s="21">
        <v>-0.1235</v>
      </c>
      <c r="Q81" s="42"/>
      <c r="R81" s="42"/>
      <c r="S81" s="22">
        <v>8.9370999999999992</v>
      </c>
      <c r="T81" s="22">
        <v>7.5944000000000003</v>
      </c>
      <c r="U81" s="42"/>
      <c r="V81" s="42"/>
      <c r="W81" s="23">
        <v>-5.2569999999999999E-2</v>
      </c>
      <c r="X81" s="23">
        <v>-0.1111</v>
      </c>
      <c r="Y81" s="42"/>
      <c r="Z81" s="42"/>
      <c r="AA81" s="24">
        <v>1.7680000000000001E-2</v>
      </c>
      <c r="AB81" s="24">
        <v>2.3120000000000002E-2</v>
      </c>
      <c r="AE81" s="54">
        <v>6.0999999999999999E-2</v>
      </c>
      <c r="AF81" s="54">
        <v>0.17</v>
      </c>
      <c r="AG81" s="54">
        <v>0.3</v>
      </c>
      <c r="AH81" s="54">
        <v>0.29499999999999998</v>
      </c>
    </row>
    <row r="82" spans="1:34" x14ac:dyDescent="0.35">
      <c r="A82" s="17">
        <v>38</v>
      </c>
      <c r="B82" s="17">
        <v>2</v>
      </c>
      <c r="C82" s="18">
        <v>-9.9441000000000006</v>
      </c>
      <c r="D82" s="18">
        <v>-12.56</v>
      </c>
      <c r="E82" s="41"/>
      <c r="F82" s="41"/>
      <c r="G82" s="19">
        <v>-18.228000000000002</v>
      </c>
      <c r="H82" s="19">
        <v>-26.702999999999999</v>
      </c>
      <c r="I82" s="41"/>
      <c r="J82" s="41"/>
      <c r="K82" s="20">
        <v>10.167999999999999</v>
      </c>
      <c r="L82" s="20">
        <v>16.614999999999998</v>
      </c>
      <c r="M82" s="41"/>
      <c r="N82" s="41"/>
      <c r="O82" s="21">
        <v>-2.478E-2</v>
      </c>
      <c r="P82" s="21">
        <f>-8.76*10^-3</f>
        <v>-8.7600000000000004E-3</v>
      </c>
      <c r="Q82" s="42"/>
      <c r="R82" s="42"/>
      <c r="S82" s="22">
        <v>8.7950999999999997</v>
      </c>
      <c r="T82" s="22">
        <v>6.9230999999999998</v>
      </c>
      <c r="U82" s="42"/>
      <c r="V82" s="42"/>
      <c r="W82" s="23" t="s">
        <v>3</v>
      </c>
      <c r="X82" s="23" t="s">
        <v>3</v>
      </c>
      <c r="Y82" s="42"/>
      <c r="Z82" s="42"/>
      <c r="AA82" s="24">
        <v>8.3680000000000004E-2</v>
      </c>
      <c r="AB82" s="24"/>
      <c r="AE82" s="55">
        <v>0.28000000000000003</v>
      </c>
      <c r="AF82" s="55"/>
      <c r="AG82" s="55">
        <v>0.29099999999999998</v>
      </c>
      <c r="AH82" s="55"/>
    </row>
    <row r="83" spans="1:34" x14ac:dyDescent="0.35">
      <c r="A83" s="17">
        <v>39</v>
      </c>
      <c r="B83" s="17">
        <v>1</v>
      </c>
      <c r="C83" s="18">
        <v>-14.314</v>
      </c>
      <c r="D83" s="18">
        <v>-14.74</v>
      </c>
      <c r="E83" s="41"/>
      <c r="F83" s="41"/>
      <c r="G83" s="19">
        <v>-17.102</v>
      </c>
      <c r="H83" s="19">
        <v>-23.614999999999998</v>
      </c>
      <c r="I83" s="41"/>
      <c r="J83" s="41"/>
      <c r="K83" s="20">
        <v>12.33</v>
      </c>
      <c r="L83" s="20">
        <v>31.65</v>
      </c>
      <c r="M83" s="41"/>
      <c r="N83" s="41"/>
      <c r="O83" s="21">
        <v>-2.9139999999999999E-2</v>
      </c>
      <c r="P83" s="21">
        <v>-2.52E-2</v>
      </c>
      <c r="Q83" s="42"/>
      <c r="R83" s="42"/>
      <c r="S83" s="22">
        <v>9.6083999999999996</v>
      </c>
      <c r="T83" s="22">
        <v>6.1877000000000004</v>
      </c>
      <c r="U83" s="42"/>
      <c r="V83" s="42"/>
      <c r="W83" s="23">
        <v>-7.6910000000000006E-2</v>
      </c>
      <c r="X83" s="23">
        <v>-0.11210000000000001</v>
      </c>
      <c r="Y83" s="42"/>
      <c r="Z83" s="42"/>
      <c r="AA83" s="24">
        <f>2.526*10^-3</f>
        <v>2.526E-3</v>
      </c>
      <c r="AB83" s="24">
        <v>2.7699999999999999E-2</v>
      </c>
      <c r="AE83" s="54">
        <v>7.2999999999999995E-2</v>
      </c>
      <c r="AF83" s="54">
        <v>0.17499999999999999</v>
      </c>
      <c r="AG83" s="54">
        <v>0.32500000000000001</v>
      </c>
      <c r="AH83" s="54">
        <v>0.34100000000000003</v>
      </c>
    </row>
    <row r="84" spans="1:34" x14ac:dyDescent="0.35">
      <c r="A84" s="17">
        <v>39</v>
      </c>
      <c r="B84" s="17">
        <v>2</v>
      </c>
      <c r="C84" s="18">
        <v>-12.817</v>
      </c>
      <c r="D84" s="18">
        <v>-15.372999999999999</v>
      </c>
      <c r="E84" s="41"/>
      <c r="F84" s="41"/>
      <c r="G84" s="19">
        <v>-15.5</v>
      </c>
      <c r="H84" s="19">
        <v>-25.004000000000001</v>
      </c>
      <c r="I84" s="41"/>
      <c r="J84" s="41"/>
      <c r="K84" s="20">
        <v>10.552</v>
      </c>
      <c r="L84" s="20">
        <v>28.302</v>
      </c>
      <c r="M84" s="41"/>
      <c r="N84" s="41"/>
      <c r="O84" s="21">
        <v>-3.1379999999999998E-2</v>
      </c>
      <c r="P84" s="21">
        <v>-1.6330000000000001E-2</v>
      </c>
      <c r="Q84" s="42"/>
      <c r="R84" s="42"/>
      <c r="S84" s="22">
        <v>10.741</v>
      </c>
      <c r="T84" s="22">
        <v>7.8208000000000002</v>
      </c>
      <c r="U84" s="42"/>
      <c r="V84" s="42"/>
      <c r="W84" s="23" t="s">
        <v>3</v>
      </c>
      <c r="X84" s="23" t="s">
        <v>3</v>
      </c>
      <c r="Y84" s="42"/>
      <c r="Z84" s="42"/>
      <c r="AA84" s="24">
        <v>2.2440000000000002E-2</v>
      </c>
      <c r="AB84" s="24">
        <f>6.78*10^-3</f>
        <v>6.7800000000000004E-3</v>
      </c>
      <c r="AE84" s="55">
        <v>0.27600000000000002</v>
      </c>
      <c r="AF84" s="55"/>
      <c r="AG84" s="55">
        <v>0.35599999999999998</v>
      </c>
      <c r="AH84" s="55"/>
    </row>
    <row r="85" spans="1:34" x14ac:dyDescent="0.35">
      <c r="A85" s="17">
        <v>40</v>
      </c>
      <c r="B85" s="17">
        <v>1</v>
      </c>
      <c r="C85" s="18">
        <v>-10.755000000000001</v>
      </c>
      <c r="D85" s="18">
        <v>-14.143000000000001</v>
      </c>
      <c r="E85" s="41"/>
      <c r="F85" s="41"/>
      <c r="G85" s="19">
        <v>-14.516999999999999</v>
      </c>
      <c r="H85" s="19">
        <v>-23.655000000000001</v>
      </c>
      <c r="I85" s="41"/>
      <c r="J85" s="41"/>
      <c r="K85" s="20">
        <v>11.593</v>
      </c>
      <c r="L85" s="20">
        <v>19.791</v>
      </c>
      <c r="M85" s="41"/>
      <c r="N85" s="41"/>
      <c r="O85" s="21">
        <v>-1.873E-2</v>
      </c>
      <c r="P85" s="21">
        <v>-1.2619999999999999E-2</v>
      </c>
      <c r="Q85" s="42"/>
      <c r="R85" s="42"/>
      <c r="S85" s="22">
        <v>9.8600999999999992</v>
      </c>
      <c r="T85" s="22">
        <v>7.5773000000000001</v>
      </c>
      <c r="U85" s="42"/>
      <c r="V85" s="42"/>
      <c r="W85" s="23">
        <v>-8.5999999999999993E-2</v>
      </c>
      <c r="X85" s="23">
        <v>-0.1278</v>
      </c>
      <c r="Y85" s="42"/>
      <c r="Z85" s="42"/>
      <c r="AA85" s="24">
        <f>8.233*10^-3</f>
        <v>8.2330000000000007E-3</v>
      </c>
      <c r="AB85" s="24">
        <v>1.2630000000000001E-2</v>
      </c>
      <c r="AE85" s="54">
        <v>0.19500000000000001</v>
      </c>
      <c r="AF85" s="54">
        <v>0.20499999999999999</v>
      </c>
      <c r="AG85" s="54">
        <v>0.28299999999999997</v>
      </c>
      <c r="AH85" s="54">
        <v>0.30299999999999999</v>
      </c>
    </row>
    <row r="86" spans="1:34" x14ac:dyDescent="0.35">
      <c r="A86" s="17">
        <v>40</v>
      </c>
      <c r="B86" s="17">
        <v>2</v>
      </c>
      <c r="C86" s="18">
        <v>-6.8987999999999996</v>
      </c>
      <c r="D86" s="18">
        <v>-15.726000000000001</v>
      </c>
      <c r="E86" s="41"/>
      <c r="F86" s="41"/>
      <c r="G86" s="19">
        <v>-14.224</v>
      </c>
      <c r="H86" s="19">
        <v>-25.207000000000001</v>
      </c>
      <c r="I86" s="41"/>
      <c r="J86" s="41"/>
      <c r="K86" s="20">
        <v>8.6175999999999995</v>
      </c>
      <c r="L86" s="20">
        <v>20.614000000000001</v>
      </c>
      <c r="M86" s="41"/>
      <c r="N86" s="41"/>
      <c r="O86" s="21">
        <v>-1.8970000000000001E-2</v>
      </c>
      <c r="P86" s="21">
        <f>-8.07*10^-3</f>
        <v>-8.0700000000000008E-3</v>
      </c>
      <c r="Q86" s="42"/>
      <c r="R86" s="42"/>
      <c r="S86" s="22">
        <v>9.5534999999999997</v>
      </c>
      <c r="T86" s="22">
        <v>9.1758000000000006</v>
      </c>
      <c r="U86" s="42"/>
      <c r="V86" s="42"/>
      <c r="W86" s="23" t="s">
        <v>3</v>
      </c>
      <c r="X86" s="23" t="s">
        <v>3</v>
      </c>
      <c r="Y86" s="42"/>
      <c r="Z86" s="42"/>
      <c r="AA86" s="24">
        <f>6.88*10^-3</f>
        <v>6.8799999999999998E-3</v>
      </c>
      <c r="AB86" s="24">
        <f>3.421*10^-3</f>
        <v>3.421E-3</v>
      </c>
      <c r="AE86" s="55">
        <v>0.215</v>
      </c>
      <c r="AF86" s="55"/>
      <c r="AG86" s="55">
        <v>0.32300000000000001</v>
      </c>
      <c r="AH86" s="55"/>
    </row>
    <row r="87" spans="1:34" x14ac:dyDescent="0.35">
      <c r="A87" s="17">
        <v>41</v>
      </c>
      <c r="B87" s="17">
        <v>1</v>
      </c>
      <c r="C87" s="18">
        <v>-4.6744000000000003</v>
      </c>
      <c r="D87" s="18">
        <v>-16.218</v>
      </c>
      <c r="E87" s="41"/>
      <c r="F87" s="41"/>
      <c r="G87" s="19">
        <v>-15.145</v>
      </c>
      <c r="H87" s="19">
        <v>-15.997</v>
      </c>
      <c r="I87" s="41"/>
      <c r="J87" s="41"/>
      <c r="K87" s="20">
        <v>12.512</v>
      </c>
      <c r="L87" s="20">
        <v>16.187000000000001</v>
      </c>
      <c r="M87" s="41"/>
      <c r="N87" s="41"/>
      <c r="O87" s="21">
        <v>-2.3189999999999999E-2</v>
      </c>
      <c r="P87" s="21">
        <f>-7.35*10^-3</f>
        <v>-7.3499999999999998E-3</v>
      </c>
      <c r="Q87" s="42"/>
      <c r="R87" s="42"/>
      <c r="S87" s="22">
        <v>5.9543999999999997</v>
      </c>
      <c r="T87" s="22">
        <v>7.1329000000000002</v>
      </c>
      <c r="U87" s="42"/>
      <c r="V87" s="42"/>
      <c r="W87" s="23">
        <v>-8.8289999999999993E-2</v>
      </c>
      <c r="X87" s="23">
        <v>-0.124</v>
      </c>
      <c r="Y87" s="42"/>
      <c r="Z87" s="42"/>
      <c r="AA87" s="24">
        <f>7.895*10^-3</f>
        <v>7.8949999999999992E-3</v>
      </c>
      <c r="AB87" s="24">
        <v>1.8970000000000001E-2</v>
      </c>
      <c r="AE87" s="54">
        <v>0.222</v>
      </c>
      <c r="AF87" s="54">
        <v>0.23899999999999999</v>
      </c>
      <c r="AG87" s="54">
        <v>0.30099999999999999</v>
      </c>
      <c r="AH87" s="54">
        <v>0.318</v>
      </c>
    </row>
    <row r="88" spans="1:34" x14ac:dyDescent="0.35">
      <c r="A88" s="17">
        <v>41</v>
      </c>
      <c r="B88" s="17">
        <v>2</v>
      </c>
      <c r="C88" s="18">
        <v>-5.5445000000000002</v>
      </c>
      <c r="D88" s="18">
        <v>-17.628</v>
      </c>
      <c r="E88" s="41"/>
      <c r="F88" s="41"/>
      <c r="G88" s="19">
        <v>-14.698</v>
      </c>
      <c r="H88" s="19">
        <v>-17.010999999999999</v>
      </c>
      <c r="I88" s="41"/>
      <c r="J88" s="41"/>
      <c r="K88" s="20">
        <v>8.8765000000000001</v>
      </c>
      <c r="L88" s="20">
        <v>16.437999999999999</v>
      </c>
      <c r="M88" s="41"/>
      <c r="N88" s="41"/>
      <c r="O88" s="21">
        <v>-2.087E-2</v>
      </c>
      <c r="P88" s="21">
        <f>-3.68*10^-3</f>
        <v>-3.6800000000000001E-3</v>
      </c>
      <c r="Q88" s="42"/>
      <c r="R88" s="42"/>
      <c r="S88" s="22">
        <v>8.0641999999999996</v>
      </c>
      <c r="T88" s="22">
        <v>6.8811</v>
      </c>
      <c r="U88" s="42"/>
      <c r="V88" s="42"/>
      <c r="W88" s="23" t="s">
        <v>3</v>
      </c>
      <c r="X88" s="23" t="s">
        <v>3</v>
      </c>
      <c r="Y88" s="42"/>
      <c r="Z88" s="42"/>
      <c r="AA88" s="24"/>
      <c r="AB88" s="24">
        <v>1.2290000000000001E-2</v>
      </c>
      <c r="AE88" s="55">
        <v>0.255</v>
      </c>
      <c r="AF88" s="55"/>
      <c r="AG88" s="55">
        <v>0.33500000000000002</v>
      </c>
      <c r="AH88" s="55"/>
    </row>
    <row r="89" spans="1:34" x14ac:dyDescent="0.35">
      <c r="A89" s="17">
        <v>42</v>
      </c>
      <c r="B89" s="17">
        <v>1</v>
      </c>
      <c r="C89" s="18">
        <v>-4.782</v>
      </c>
      <c r="D89" s="18">
        <v>-16.027999999999999</v>
      </c>
      <c r="E89" s="41"/>
      <c r="F89" s="41"/>
      <c r="G89" s="19">
        <v>-12.651999999999999</v>
      </c>
      <c r="H89" s="19">
        <v>-22.189</v>
      </c>
      <c r="I89" s="41"/>
      <c r="J89" s="41"/>
      <c r="K89" s="20">
        <v>7.4294000000000002</v>
      </c>
      <c r="L89" s="20">
        <v>25.282</v>
      </c>
      <c r="M89" s="41"/>
      <c r="N89" s="41"/>
      <c r="O89" s="21">
        <v>-1.4370000000000001E-2</v>
      </c>
      <c r="P89" s="21">
        <v>-1.4749999999999999E-2</v>
      </c>
      <c r="Q89" s="42"/>
      <c r="R89" s="42"/>
      <c r="S89" s="22">
        <v>8.5594000000000001</v>
      </c>
      <c r="T89" s="22">
        <v>7.9301000000000004</v>
      </c>
      <c r="U89" s="42"/>
      <c r="V89" s="42"/>
      <c r="W89" s="23">
        <v>-8.1559999999999994E-2</v>
      </c>
      <c r="X89" s="23">
        <v>-0.1084</v>
      </c>
      <c r="Y89" s="42"/>
      <c r="Z89" s="42"/>
      <c r="AA89" s="24">
        <f>1.895*10^-3</f>
        <v>1.895E-3</v>
      </c>
      <c r="AB89" s="24">
        <f>1.39*10^-3</f>
        <v>1.39E-3</v>
      </c>
      <c r="AE89" s="54">
        <v>0.11899999999999999</v>
      </c>
      <c r="AF89" s="54">
        <v>0.128</v>
      </c>
      <c r="AG89" s="54">
        <v>0.311</v>
      </c>
      <c r="AH89" s="54">
        <v>0.32800000000000001</v>
      </c>
    </row>
    <row r="90" spans="1:34" x14ac:dyDescent="0.35">
      <c r="A90" s="17">
        <v>42</v>
      </c>
      <c r="B90" s="17">
        <v>2</v>
      </c>
      <c r="C90" s="18">
        <v>-6.6083999999999996</v>
      </c>
      <c r="D90" s="18">
        <v>-16.094000000000001</v>
      </c>
      <c r="E90" s="41"/>
      <c r="F90" s="41"/>
      <c r="G90" s="19">
        <v>-13.185</v>
      </c>
      <c r="H90" s="19">
        <v>-24.274000000000001</v>
      </c>
      <c r="I90" s="41"/>
      <c r="J90" s="41"/>
      <c r="K90" s="20">
        <v>6.7820999999999998</v>
      </c>
      <c r="L90" s="20">
        <v>28.225999999999999</v>
      </c>
      <c r="M90" s="41"/>
      <c r="N90" s="41"/>
      <c r="O90" s="21">
        <v>-1.5890000000000001E-2</v>
      </c>
      <c r="P90" s="21">
        <v>-1.2200000000000001E-2</v>
      </c>
      <c r="Q90" s="42"/>
      <c r="R90" s="42"/>
      <c r="S90" s="22">
        <v>11.038</v>
      </c>
      <c r="T90" s="22">
        <v>7.5846999999999998</v>
      </c>
      <c r="U90" s="42"/>
      <c r="V90" s="42"/>
      <c r="W90" s="23" t="s">
        <v>3</v>
      </c>
      <c r="X90" s="23" t="s">
        <v>3</v>
      </c>
      <c r="Y90" s="42"/>
      <c r="Z90" s="42"/>
      <c r="AA90" s="24">
        <f>3.474*10^-3</f>
        <v>3.4740000000000001E-3</v>
      </c>
      <c r="AB90" s="24">
        <f>2.342*10^-3</f>
        <v>2.3420000000000003E-3</v>
      </c>
      <c r="AE90" s="55">
        <v>0.13600000000000001</v>
      </c>
      <c r="AF90" s="55"/>
      <c r="AG90" s="55">
        <v>0.34499999999999997</v>
      </c>
      <c r="AH90" s="55"/>
    </row>
    <row r="91" spans="1:34" x14ac:dyDescent="0.35">
      <c r="A91" s="17">
        <v>43</v>
      </c>
      <c r="B91" s="17">
        <v>1</v>
      </c>
      <c r="C91" s="18">
        <v>-6.3348000000000004</v>
      </c>
      <c r="D91" s="18">
        <v>-16.117999999999999</v>
      </c>
      <c r="E91" s="41"/>
      <c r="F91" s="41"/>
      <c r="G91" s="19">
        <v>-20.166</v>
      </c>
      <c r="H91" s="19">
        <v>-33.677</v>
      </c>
      <c r="I91" s="41"/>
      <c r="J91" s="41"/>
      <c r="K91" s="20">
        <v>12.868</v>
      </c>
      <c r="L91" s="20">
        <v>24.568999999999999</v>
      </c>
      <c r="M91" s="41"/>
      <c r="N91" s="41"/>
      <c r="O91" s="21">
        <v>-3.3840000000000002E-2</v>
      </c>
      <c r="P91" s="21">
        <v>-2.215E-2</v>
      </c>
      <c r="Q91" s="42"/>
      <c r="R91" s="42"/>
      <c r="S91" s="22" t="s">
        <v>3</v>
      </c>
      <c r="T91" s="22">
        <v>6.8811</v>
      </c>
      <c r="U91" s="42"/>
      <c r="V91" s="42"/>
      <c r="W91" s="23">
        <v>-7.1239999999999998E-2</v>
      </c>
      <c r="X91" s="23">
        <v>-7.0290000000000005E-2</v>
      </c>
      <c r="Y91" s="42"/>
      <c r="Z91" s="42"/>
      <c r="AA91" s="24">
        <v>1.2449999999999999E-2</v>
      </c>
      <c r="AB91" s="24">
        <v>2.053E-2</v>
      </c>
      <c r="AE91" s="54">
        <v>0.27300000000000002</v>
      </c>
      <c r="AF91" s="54">
        <v>0.27700000000000002</v>
      </c>
      <c r="AG91" s="54">
        <v>0.40699999999999997</v>
      </c>
      <c r="AH91" s="54">
        <v>0.41299999999999998</v>
      </c>
    </row>
    <row r="92" spans="1:34" x14ac:dyDescent="0.35">
      <c r="A92" s="17">
        <v>43</v>
      </c>
      <c r="B92" s="17">
        <v>2</v>
      </c>
      <c r="C92" s="18">
        <v>-7.1748000000000003</v>
      </c>
      <c r="D92" s="18">
        <v>-14.79</v>
      </c>
      <c r="E92" s="41"/>
      <c r="F92" s="41"/>
      <c r="G92" s="19">
        <v>-20.013999999999999</v>
      </c>
      <c r="H92" s="19">
        <v>-35.045999999999999</v>
      </c>
      <c r="I92" s="41"/>
      <c r="J92" s="41"/>
      <c r="K92" s="20">
        <v>16.503</v>
      </c>
      <c r="L92" s="20">
        <v>28.407</v>
      </c>
      <c r="M92" s="41"/>
      <c r="N92" s="41"/>
      <c r="O92" s="21">
        <v>-3.227E-2</v>
      </c>
      <c r="P92" s="21">
        <v>-1.4619999999999999E-2</v>
      </c>
      <c r="Q92" s="42"/>
      <c r="R92" s="42"/>
      <c r="S92" s="22">
        <v>8.4954000000000001</v>
      </c>
      <c r="T92" s="22">
        <v>5.9340999999999999</v>
      </c>
      <c r="U92" s="42"/>
      <c r="V92" s="42"/>
      <c r="W92" s="23" t="s">
        <v>3</v>
      </c>
      <c r="X92" s="23" t="s">
        <v>3</v>
      </c>
      <c r="Y92" s="42"/>
      <c r="Z92" s="42"/>
      <c r="AA92" s="24"/>
      <c r="AB92" s="24">
        <f>4.766*10^-3</f>
        <v>4.7660000000000003E-3</v>
      </c>
      <c r="AE92" s="55">
        <v>0.28199999999999997</v>
      </c>
      <c r="AF92" s="55"/>
      <c r="AG92" s="55">
        <v>0.41799999999999998</v>
      </c>
      <c r="AH92" s="55"/>
    </row>
    <row r="93" spans="1:34" x14ac:dyDescent="0.35">
      <c r="A93" s="17">
        <v>44</v>
      </c>
      <c r="B93" s="17">
        <v>1</v>
      </c>
      <c r="C93" s="18">
        <v>-3.911</v>
      </c>
      <c r="D93" s="18">
        <v>-15.712999999999999</v>
      </c>
      <c r="E93" s="41"/>
      <c r="F93" s="41"/>
      <c r="G93" s="19">
        <v>-14.465</v>
      </c>
      <c r="H93" s="19">
        <v>-31.292999999999999</v>
      </c>
      <c r="I93" s="41"/>
      <c r="J93" s="41"/>
      <c r="K93" s="20">
        <v>6.7385000000000002</v>
      </c>
      <c r="L93" s="20">
        <v>16.728999999999999</v>
      </c>
      <c r="M93" s="41"/>
      <c r="N93" s="41"/>
      <c r="O93" s="21">
        <v>-2.2859999999999998E-2</v>
      </c>
      <c r="P93" s="21">
        <f>-3.43*10^-3</f>
        <v>-3.4300000000000003E-3</v>
      </c>
      <c r="Q93" s="42"/>
      <c r="R93" s="42"/>
      <c r="S93" s="22">
        <v>9.6083999999999996</v>
      </c>
      <c r="T93" s="22">
        <v>6.7455999999999996</v>
      </c>
      <c r="U93" s="42"/>
      <c r="V93" s="42"/>
      <c r="W93" s="23">
        <v>-8.3199999999999996E-2</v>
      </c>
      <c r="X93" s="23">
        <v>-9.2869999999999994E-2</v>
      </c>
      <c r="Y93" s="42"/>
      <c r="Z93" s="42"/>
      <c r="AA93" s="24">
        <f>1.579*10^-3</f>
        <v>1.5789999999999999E-3</v>
      </c>
      <c r="AB93" s="24">
        <f>4.005*10^-3</f>
        <v>4.0049999999999999E-3</v>
      </c>
      <c r="AE93" s="54">
        <v>0.189</v>
      </c>
      <c r="AF93" s="54">
        <v>0.19500000000000001</v>
      </c>
      <c r="AG93" s="54">
        <v>0.27900000000000003</v>
      </c>
      <c r="AH93" s="54">
        <v>0.28299999999999997</v>
      </c>
    </row>
    <row r="94" spans="1:34" x14ac:dyDescent="0.35">
      <c r="A94" s="17">
        <v>44</v>
      </c>
      <c r="B94" s="17">
        <v>2</v>
      </c>
      <c r="C94" s="18">
        <v>-5.4485999999999999</v>
      </c>
      <c r="D94" s="18">
        <v>-14.05</v>
      </c>
      <c r="E94" s="41"/>
      <c r="F94" s="41"/>
      <c r="G94" s="19">
        <v>-14.201000000000001</v>
      </c>
      <c r="H94" s="19">
        <v>-33.728000000000002</v>
      </c>
      <c r="I94" s="41"/>
      <c r="J94" s="41"/>
      <c r="K94" s="20">
        <v>7.1867999999999999</v>
      </c>
      <c r="L94" s="20">
        <v>18.989000000000001</v>
      </c>
      <c r="M94" s="41"/>
      <c r="N94" s="41"/>
      <c r="O94" s="21">
        <v>-2.103E-2</v>
      </c>
      <c r="P94" s="21">
        <f>-4.55*10^-3</f>
        <v>-4.5500000000000002E-3</v>
      </c>
      <c r="Q94" s="42"/>
      <c r="R94" s="42"/>
      <c r="S94" s="22">
        <v>10.07</v>
      </c>
      <c r="T94" s="22">
        <v>5.65</v>
      </c>
      <c r="U94" s="42"/>
      <c r="V94" s="42"/>
      <c r="W94" s="23" t="s">
        <v>3</v>
      </c>
      <c r="X94" s="23" t="s">
        <v>3</v>
      </c>
      <c r="Y94" s="42"/>
      <c r="Z94" s="42"/>
      <c r="AA94" s="24">
        <f>1.861*10^-3</f>
        <v>1.861E-3</v>
      </c>
      <c r="AB94" s="24">
        <f>0.01259</f>
        <v>1.259E-2</v>
      </c>
      <c r="AE94" s="55">
        <v>0.20200000000000001</v>
      </c>
      <c r="AF94" s="55"/>
      <c r="AG94" s="55">
        <v>0.28699999999999998</v>
      </c>
      <c r="AH94" s="55"/>
    </row>
    <row r="95" spans="1:34" x14ac:dyDescent="0.35">
      <c r="A95" s="17">
        <v>45</v>
      </c>
      <c r="B95" s="17">
        <v>1</v>
      </c>
      <c r="C95" s="18">
        <v>-3.8574999999999999</v>
      </c>
      <c r="D95" s="18">
        <v>-16.065999999999999</v>
      </c>
      <c r="E95" s="41"/>
      <c r="F95" s="41"/>
      <c r="G95" s="19">
        <v>-15.256</v>
      </c>
      <c r="H95" s="19">
        <v>-21.931000000000001</v>
      </c>
      <c r="I95" s="41"/>
      <c r="J95" s="41"/>
      <c r="K95" s="20">
        <v>9.7447999999999997</v>
      </c>
      <c r="L95" s="20">
        <v>20.954000000000001</v>
      </c>
      <c r="M95" s="41"/>
      <c r="N95" s="41"/>
      <c r="O95" s="21">
        <v>-2.5360000000000001E-2</v>
      </c>
      <c r="P95" s="21">
        <v>-1.321E-2</v>
      </c>
      <c r="Q95" s="42"/>
      <c r="R95" s="42"/>
      <c r="S95" s="22">
        <v>7.3845999999999998</v>
      </c>
      <c r="T95" s="22">
        <v>8.2367000000000008</v>
      </c>
      <c r="U95" s="42"/>
      <c r="V95" s="42"/>
      <c r="W95" s="23">
        <v>-7.2139999999999996E-2</v>
      </c>
      <c r="X95" s="23">
        <v>-0.10009999999999999</v>
      </c>
      <c r="Y95" s="42"/>
      <c r="Z95" s="42"/>
      <c r="AA95" s="24">
        <f>3.491*10^-3</f>
        <v>3.4910000000000002E-3</v>
      </c>
      <c r="AB95" s="24">
        <f>7.487*10^-4</f>
        <v>7.4870000000000004E-4</v>
      </c>
      <c r="AE95" s="54">
        <v>0.2</v>
      </c>
      <c r="AF95" s="54">
        <v>0.21099999999999999</v>
      </c>
      <c r="AG95" s="54">
        <v>0.33600000000000002</v>
      </c>
      <c r="AH95" s="54">
        <v>0.34699999999999998</v>
      </c>
    </row>
    <row r="96" spans="1:34" x14ac:dyDescent="0.35">
      <c r="A96" s="17">
        <v>45</v>
      </c>
      <c r="B96" s="17">
        <v>2</v>
      </c>
      <c r="C96" s="18">
        <v>-4.8284000000000002</v>
      </c>
      <c r="D96" s="18">
        <v>-15.087999999999999</v>
      </c>
      <c r="E96" s="41"/>
      <c r="F96" s="41"/>
      <c r="G96" s="19">
        <v>-14.741</v>
      </c>
      <c r="H96" s="19">
        <v>-22.367000000000001</v>
      </c>
      <c r="I96" s="41"/>
      <c r="J96" s="41"/>
      <c r="K96" s="20">
        <v>10.991</v>
      </c>
      <c r="L96" s="20">
        <v>27.33</v>
      </c>
      <c r="M96" s="41"/>
      <c r="N96" s="41"/>
      <c r="O96" s="21">
        <v>-2.5749999999999999E-2</v>
      </c>
      <c r="P96" s="21">
        <v>-1.319E-2</v>
      </c>
      <c r="Q96" s="42"/>
      <c r="R96" s="42"/>
      <c r="S96" s="22">
        <v>8.4445999999999994</v>
      </c>
      <c r="T96" s="22">
        <v>8.8111999999999995</v>
      </c>
      <c r="U96" s="42"/>
      <c r="V96" s="42"/>
      <c r="W96" s="23" t="s">
        <v>3</v>
      </c>
      <c r="X96" s="23" t="s">
        <v>3</v>
      </c>
      <c r="Y96" s="42"/>
      <c r="Z96" s="42"/>
      <c r="AA96" s="24">
        <f>2.196*10^-3</f>
        <v>2.196E-3</v>
      </c>
      <c r="AB96" s="24">
        <f>9*10^-3</f>
        <v>9.0000000000000011E-3</v>
      </c>
      <c r="AE96" s="55">
        <v>0.223</v>
      </c>
      <c r="AF96" s="55"/>
      <c r="AG96" s="55">
        <v>0.35799999999999998</v>
      </c>
      <c r="AH96" s="55"/>
    </row>
    <row r="97" spans="1:34" x14ac:dyDescent="0.35">
      <c r="A97" s="17">
        <v>46</v>
      </c>
      <c r="B97" s="17">
        <v>1</v>
      </c>
      <c r="C97" s="18">
        <v>-8.1611999999999991</v>
      </c>
      <c r="D97" s="18">
        <v>-17.184000000000001</v>
      </c>
      <c r="E97" s="41"/>
      <c r="F97" s="41"/>
      <c r="G97" s="19">
        <v>-16.138999999999999</v>
      </c>
      <c r="H97" s="19">
        <v>-19.018999999999998</v>
      </c>
      <c r="I97" s="41"/>
      <c r="J97" s="41"/>
      <c r="K97" s="20">
        <v>10.811</v>
      </c>
      <c r="L97" s="20">
        <v>22.09</v>
      </c>
      <c r="M97" s="41"/>
      <c r="N97" s="41"/>
      <c r="O97" s="21">
        <v>-2.2970000000000001E-2</v>
      </c>
      <c r="P97" s="21">
        <v>-2.7199999999999998E-2</v>
      </c>
      <c r="Q97" s="42"/>
      <c r="R97" s="42"/>
      <c r="S97" s="22">
        <v>8.7601999999999993</v>
      </c>
      <c r="T97" s="22">
        <v>8.4459999999999997</v>
      </c>
      <c r="U97" s="42"/>
      <c r="V97" s="42"/>
      <c r="W97" s="23">
        <v>-7.0419999999999996E-2</v>
      </c>
      <c r="X97" s="23">
        <v>-0.1096</v>
      </c>
      <c r="Y97" s="42"/>
      <c r="Z97" s="42"/>
      <c r="AA97" s="24">
        <v>2.1989999999999999E-2</v>
      </c>
      <c r="AB97" s="24">
        <f>1.919*10^-3</f>
        <v>1.9190000000000001E-3</v>
      </c>
      <c r="AE97" s="54">
        <v>0.24399999999999999</v>
      </c>
      <c r="AF97" s="54">
        <v>0.26600000000000001</v>
      </c>
      <c r="AG97" s="54">
        <v>0.30399999999999999</v>
      </c>
      <c r="AH97" s="54">
        <v>0.30099999999999999</v>
      </c>
    </row>
    <row r="98" spans="1:34" x14ac:dyDescent="0.35">
      <c r="A98" s="17">
        <v>46</v>
      </c>
      <c r="B98" s="17">
        <v>2</v>
      </c>
      <c r="C98" s="18">
        <v>-6.2637</v>
      </c>
      <c r="D98" s="18">
        <v>-16.428000000000001</v>
      </c>
      <c r="E98" s="41"/>
      <c r="F98" s="41"/>
      <c r="G98" s="19">
        <v>-15.003</v>
      </c>
      <c r="H98" s="19">
        <v>-20.216000000000001</v>
      </c>
      <c r="I98" s="41"/>
      <c r="J98" s="41"/>
      <c r="K98" s="20">
        <v>11.452999999999999</v>
      </c>
      <c r="L98" s="20">
        <v>23.585999999999999</v>
      </c>
      <c r="M98" s="41"/>
      <c r="N98" s="41"/>
      <c r="O98" s="21">
        <v>-2.835E-2</v>
      </c>
      <c r="P98" s="21">
        <v>-1.24E-2</v>
      </c>
      <c r="Q98" s="42"/>
      <c r="R98" s="42"/>
      <c r="S98" s="25">
        <v>8.8504000000000005</v>
      </c>
      <c r="T98" s="22">
        <v>8.3939000000000004</v>
      </c>
      <c r="U98" s="42"/>
      <c r="V98" s="42"/>
      <c r="W98" s="23" t="s">
        <v>3</v>
      </c>
      <c r="X98" s="23" t="s">
        <v>3</v>
      </c>
      <c r="Y98" s="42"/>
      <c r="Z98" s="42"/>
      <c r="AA98" s="24">
        <f>3.789*10^-3</f>
        <v>3.7890000000000003E-3</v>
      </c>
      <c r="AB98" s="24">
        <f>4.474*10^-3</f>
        <v>4.4740000000000005E-3</v>
      </c>
      <c r="AE98" s="55">
        <v>0.28899999999999998</v>
      </c>
      <c r="AF98" s="55"/>
      <c r="AG98" s="55">
        <v>0.29699999999999999</v>
      </c>
      <c r="AH98" s="55"/>
    </row>
    <row r="99" spans="1:34" x14ac:dyDescent="0.35">
      <c r="A99" s="17">
        <v>47</v>
      </c>
      <c r="B99" s="17">
        <v>1</v>
      </c>
      <c r="C99" s="18">
        <v>-5.1330999999999998</v>
      </c>
      <c r="D99" s="18">
        <v>-16.170999999999999</v>
      </c>
      <c r="E99" s="41"/>
      <c r="F99" s="41"/>
      <c r="G99" s="19">
        <v>-17.63</v>
      </c>
      <c r="H99" s="19">
        <v>-23.3</v>
      </c>
      <c r="I99" s="41"/>
      <c r="J99" s="41"/>
      <c r="K99" s="20">
        <v>10.582000000000001</v>
      </c>
      <c r="L99" s="20">
        <v>29.187999999999999</v>
      </c>
      <c r="M99" s="41"/>
      <c r="N99" s="41"/>
      <c r="O99" s="21">
        <v>-2.2870000000000001E-2</v>
      </c>
      <c r="P99" s="21">
        <v>-1.1270000000000001E-2</v>
      </c>
      <c r="Q99" s="42"/>
      <c r="R99" s="42"/>
      <c r="S99" s="22">
        <v>8.6475000000000009</v>
      </c>
      <c r="T99" s="22">
        <v>7.6078000000000001</v>
      </c>
      <c r="U99" s="42"/>
      <c r="V99" s="42"/>
      <c r="W99" s="23">
        <v>-9.0300000000000005E-2</v>
      </c>
      <c r="X99" s="23">
        <v>-0.10979999999999999</v>
      </c>
      <c r="Y99" s="42"/>
      <c r="Z99" s="42"/>
      <c r="AA99" s="24">
        <f>1.714*10^-3</f>
        <v>1.714E-3</v>
      </c>
      <c r="AB99" s="24">
        <f>3.751*10^-3</f>
        <v>3.751E-3</v>
      </c>
      <c r="AE99" s="54">
        <v>0.191</v>
      </c>
      <c r="AF99" s="54">
        <v>0.20200000000000001</v>
      </c>
      <c r="AG99" s="54">
        <v>0.23499999999999999</v>
      </c>
      <c r="AH99" s="54">
        <v>0.24199999999999999</v>
      </c>
    </row>
    <row r="100" spans="1:34" x14ac:dyDescent="0.35">
      <c r="A100" s="17">
        <v>47</v>
      </c>
      <c r="B100" s="17">
        <v>2</v>
      </c>
      <c r="C100" s="18">
        <v>-5.0075000000000003</v>
      </c>
      <c r="D100" s="18">
        <v>-15.497999999999999</v>
      </c>
      <c r="E100" s="41"/>
      <c r="F100" s="41"/>
      <c r="G100" s="19">
        <v>-17.407</v>
      </c>
      <c r="H100" s="19">
        <v>-24.771000000000001</v>
      </c>
      <c r="I100" s="41"/>
      <c r="J100" s="41"/>
      <c r="K100" s="20">
        <v>12.798999999999999</v>
      </c>
      <c r="L100" s="20">
        <v>29.841999999999999</v>
      </c>
      <c r="M100" s="41"/>
      <c r="N100" s="41"/>
      <c r="O100" s="21">
        <v>-2.4920000000000001E-2</v>
      </c>
      <c r="P100" s="21">
        <f>-9.02*10^-3</f>
        <v>-9.0200000000000002E-3</v>
      </c>
      <c r="Q100" s="42"/>
      <c r="R100" s="42"/>
      <c r="S100" s="22">
        <v>9.2044999999999995</v>
      </c>
      <c r="T100" s="22">
        <v>8.0946999999999996</v>
      </c>
      <c r="U100" s="42"/>
      <c r="V100" s="42"/>
      <c r="W100" s="23" t="s">
        <v>3</v>
      </c>
      <c r="X100" s="23" t="s">
        <v>3</v>
      </c>
      <c r="Y100" s="42"/>
      <c r="Z100" s="42"/>
      <c r="AA100" s="24">
        <f>1.316*10^-3</f>
        <v>1.3160000000000001E-3</v>
      </c>
      <c r="AB100" s="24">
        <f>3.241*10^-3</f>
        <v>3.241E-3</v>
      </c>
      <c r="AE100" s="55">
        <v>0.21299999999999999</v>
      </c>
      <c r="AF100" s="55"/>
      <c r="AG100" s="55">
        <v>0.249</v>
      </c>
      <c r="AH100" s="55"/>
    </row>
    <row r="101" spans="1:34" x14ac:dyDescent="0.35">
      <c r="A101" s="17">
        <v>48</v>
      </c>
      <c r="B101" s="17">
        <v>1</v>
      </c>
      <c r="C101" s="18">
        <v>-1.7195</v>
      </c>
      <c r="D101" s="18">
        <v>-16.247</v>
      </c>
      <c r="E101" s="41"/>
      <c r="F101" s="41"/>
      <c r="G101" s="19">
        <v>-15.439</v>
      </c>
      <c r="H101" s="19">
        <v>-22.498999999999999</v>
      </c>
      <c r="I101" s="41"/>
      <c r="J101" s="41"/>
      <c r="K101" s="20">
        <v>10.688000000000001</v>
      </c>
      <c r="L101" s="20">
        <v>31.712</v>
      </c>
      <c r="M101" s="41"/>
      <c r="N101" s="41"/>
      <c r="O101" s="21">
        <v>-2.3429999999999999E-2</v>
      </c>
      <c r="P101" s="21">
        <v>-2.4709999999999999E-2</v>
      </c>
      <c r="Q101" s="42"/>
      <c r="R101" s="42"/>
      <c r="S101" s="22">
        <v>9.7683999999999997</v>
      </c>
      <c r="T101" s="22">
        <v>8.8530999999999995</v>
      </c>
      <c r="U101" s="42"/>
      <c r="V101" s="42"/>
      <c r="W101" s="23">
        <v>-0.14599999999999999</v>
      </c>
      <c r="X101" s="23">
        <v>-0.106</v>
      </c>
      <c r="Y101" s="42"/>
      <c r="Z101" s="42"/>
      <c r="AA101" s="24">
        <v>1.1050000000000001E-2</v>
      </c>
      <c r="AB101" s="24">
        <f>2.211*10^-3</f>
        <v>2.2109999999999999E-3</v>
      </c>
      <c r="AE101" s="54">
        <v>0.20499999999999999</v>
      </c>
      <c r="AF101" s="54">
        <v>0.22</v>
      </c>
      <c r="AG101" s="54">
        <v>0.23300000000000001</v>
      </c>
      <c r="AH101" s="54">
        <v>0.23200000000000001</v>
      </c>
    </row>
    <row r="102" spans="1:34" x14ac:dyDescent="0.35">
      <c r="A102" s="17">
        <v>48</v>
      </c>
      <c r="B102" s="17">
        <v>2</v>
      </c>
      <c r="C102" s="18">
        <v>-5.5411999999999999</v>
      </c>
      <c r="D102" s="18">
        <v>-17.042000000000002</v>
      </c>
      <c r="E102" s="41"/>
      <c r="F102" s="41"/>
      <c r="G102" s="19">
        <v>-15.635999999999999</v>
      </c>
      <c r="H102" s="19">
        <v>-28.26</v>
      </c>
      <c r="I102" s="41"/>
      <c r="J102" s="41"/>
      <c r="K102" s="20">
        <v>10.473000000000001</v>
      </c>
      <c r="L102" s="20">
        <v>32.590000000000003</v>
      </c>
      <c r="M102" s="41"/>
      <c r="N102" s="41"/>
      <c r="O102" s="21">
        <v>-2.3269999999999999E-2</v>
      </c>
      <c r="P102" s="21">
        <v>-1.004E-2</v>
      </c>
      <c r="Q102" s="42"/>
      <c r="R102" s="42"/>
      <c r="S102" s="22">
        <v>11.635999999999999</v>
      </c>
      <c r="T102" s="22">
        <v>8.6525999999999996</v>
      </c>
      <c r="U102" s="42"/>
      <c r="V102" s="42"/>
      <c r="W102" s="23" t="s">
        <v>3</v>
      </c>
      <c r="X102" s="23" t="s">
        <v>3</v>
      </c>
      <c r="Y102" s="42"/>
      <c r="Z102" s="42"/>
      <c r="AA102" s="24">
        <f>4.737*10^-3</f>
        <v>4.7369999999999999E-3</v>
      </c>
      <c r="AB102" s="24">
        <f>2.776*10^-3</f>
        <v>2.7759999999999998E-3</v>
      </c>
      <c r="AE102" s="55">
        <v>0.23400000000000001</v>
      </c>
      <c r="AF102" s="55"/>
      <c r="AG102" s="55">
        <v>0.23200000000000001</v>
      </c>
      <c r="AH102" s="55"/>
    </row>
    <row r="103" spans="1:34" x14ac:dyDescent="0.35">
      <c r="A103" s="17">
        <v>49</v>
      </c>
      <c r="B103" s="17">
        <v>1</v>
      </c>
      <c r="C103" s="18">
        <v>-11.522</v>
      </c>
      <c r="D103" s="18">
        <v>-18.437999999999999</v>
      </c>
      <c r="E103" s="41"/>
      <c r="F103" s="41"/>
      <c r="G103" s="19">
        <v>-16.635999999999999</v>
      </c>
      <c r="H103" s="19">
        <v>-24</v>
      </c>
      <c r="I103" s="41"/>
      <c r="J103" s="41"/>
      <c r="K103" s="20">
        <v>18.475999999999999</v>
      </c>
      <c r="L103" s="20">
        <v>15.396000000000001</v>
      </c>
      <c r="M103" s="41"/>
      <c r="N103" s="41"/>
      <c r="O103" s="21">
        <v>-2.5999999999999999E-2</v>
      </c>
      <c r="P103" s="21">
        <f>-8.57*10^-4</f>
        <v>-8.5700000000000012E-4</v>
      </c>
      <c r="Q103" s="42"/>
      <c r="R103" s="42"/>
      <c r="S103" s="22">
        <v>7.0909000000000004</v>
      </c>
      <c r="T103" s="22">
        <v>5.5689000000000002</v>
      </c>
      <c r="U103" s="42"/>
      <c r="V103" s="42"/>
      <c r="W103" s="53">
        <v>-0.1157</v>
      </c>
      <c r="X103" s="53">
        <v>-0.1363</v>
      </c>
      <c r="Y103" s="49"/>
      <c r="Z103" s="49"/>
      <c r="AA103" s="24">
        <f>6.88*10^-3</f>
        <v>6.8799999999999998E-3</v>
      </c>
      <c r="AB103" s="24">
        <v>1.7999999999999999E-2</v>
      </c>
      <c r="AE103" s="54">
        <v>0.23599999999999999</v>
      </c>
      <c r="AF103" s="54">
        <v>0.24</v>
      </c>
      <c r="AG103" s="54">
        <v>0.251</v>
      </c>
      <c r="AH103" s="54">
        <v>0.26</v>
      </c>
    </row>
    <row r="104" spans="1:34" x14ac:dyDescent="0.35">
      <c r="A104" s="17">
        <v>49</v>
      </c>
      <c r="B104" s="17">
        <v>2</v>
      </c>
      <c r="C104" s="18">
        <v>-18.329000000000001</v>
      </c>
      <c r="D104" s="18">
        <v>-18.009</v>
      </c>
      <c r="E104" s="41"/>
      <c r="F104" s="41"/>
      <c r="G104" s="19">
        <v>-14.180999999999999</v>
      </c>
      <c r="H104" s="19">
        <v>-24.141999999999999</v>
      </c>
      <c r="I104" s="41"/>
      <c r="J104" s="41"/>
      <c r="K104" s="20">
        <v>17.739999999999998</v>
      </c>
      <c r="L104" s="20">
        <v>15.079000000000001</v>
      </c>
      <c r="M104" s="41"/>
      <c r="N104" s="41"/>
      <c r="O104" s="21">
        <v>-2.52E-2</v>
      </c>
      <c r="P104" s="21">
        <f>-4.57*10^-4</f>
        <v>-4.5700000000000005E-4</v>
      </c>
      <c r="Q104" s="42"/>
      <c r="R104" s="42"/>
      <c r="S104" s="22">
        <v>7.4684999999999997</v>
      </c>
      <c r="T104" s="22">
        <v>6.4874000000000001</v>
      </c>
      <c r="U104" s="42"/>
      <c r="V104" s="42"/>
      <c r="W104" s="53" t="s">
        <v>3</v>
      </c>
      <c r="X104" s="53" t="s">
        <v>3</v>
      </c>
      <c r="Y104" s="42"/>
      <c r="Z104" s="42"/>
      <c r="AA104" s="24">
        <f>6.654*10^-3</f>
        <v>6.6540000000000002E-3</v>
      </c>
      <c r="AB104" s="24">
        <v>0.1105</v>
      </c>
      <c r="AE104" s="55">
        <v>0.24299999999999999</v>
      </c>
      <c r="AF104" s="55"/>
      <c r="AG104" s="56">
        <v>0.26200000000000001</v>
      </c>
      <c r="AH104" s="56"/>
    </row>
    <row r="105" spans="1:34" x14ac:dyDescent="0.35">
      <c r="A105" s="17">
        <v>50</v>
      </c>
      <c r="B105" s="17">
        <v>1</v>
      </c>
      <c r="C105" s="18">
        <v>-17.652000000000001</v>
      </c>
      <c r="D105" s="18">
        <v>-17.760000000000002</v>
      </c>
      <c r="E105" s="41"/>
      <c r="F105" s="41"/>
      <c r="G105" s="19">
        <v>-19.832000000000001</v>
      </c>
      <c r="H105" s="19">
        <v>-27.204999999999998</v>
      </c>
      <c r="I105" s="41"/>
      <c r="J105" s="41"/>
      <c r="K105" s="20">
        <v>8.5393000000000008</v>
      </c>
      <c r="L105" s="20">
        <v>11.237</v>
      </c>
      <c r="M105" s="41"/>
      <c r="N105" s="41"/>
      <c r="O105" s="21">
        <v>-2.291E-2</v>
      </c>
      <c r="P105" s="21">
        <v>-1.251E-2</v>
      </c>
      <c r="Q105" s="42"/>
      <c r="R105" s="42"/>
      <c r="S105" s="22">
        <v>8.5206999999999997</v>
      </c>
      <c r="T105" s="22">
        <v>7.0769000000000002</v>
      </c>
      <c r="U105" s="42"/>
      <c r="V105" s="42"/>
      <c r="W105" s="53">
        <v>-9.3600000000000003E-2</v>
      </c>
      <c r="X105" s="53">
        <v>-0.14610000000000001</v>
      </c>
      <c r="Y105" s="49"/>
      <c r="Z105" s="49"/>
      <c r="AA105" s="24">
        <v>1.516E-2</v>
      </c>
      <c r="AB105" s="24">
        <v>2.6800000000000001E-2</v>
      </c>
      <c r="AE105" s="54">
        <v>0.161</v>
      </c>
      <c r="AF105" s="54">
        <v>0.16400000000000001</v>
      </c>
      <c r="AG105" s="56">
        <v>0.27200000000000002</v>
      </c>
      <c r="AH105" s="56"/>
    </row>
    <row r="106" spans="1:34" x14ac:dyDescent="0.35">
      <c r="A106" s="17">
        <v>50</v>
      </c>
      <c r="B106" s="17">
        <v>2</v>
      </c>
      <c r="C106" s="18">
        <v>-12.113</v>
      </c>
      <c r="D106" s="18">
        <v>-18.132999999999999</v>
      </c>
      <c r="E106" s="41"/>
      <c r="F106" s="41"/>
      <c r="G106" s="19">
        <v>-16.108000000000001</v>
      </c>
      <c r="H106" s="19">
        <v>-27.56</v>
      </c>
      <c r="I106" s="41"/>
      <c r="J106" s="41"/>
      <c r="K106" s="20">
        <v>9.9</v>
      </c>
      <c r="L106" s="20">
        <v>11.432</v>
      </c>
      <c r="M106" s="41"/>
      <c r="N106" s="41"/>
      <c r="O106" s="21">
        <v>-2.4289999999999999E-2</v>
      </c>
      <c r="P106" s="21">
        <v>-2.1669999999999998E-2</v>
      </c>
      <c r="Q106" s="42"/>
      <c r="R106" s="42"/>
      <c r="S106" s="22">
        <v>8.2302</v>
      </c>
      <c r="T106" s="22">
        <v>6.7972000000000001</v>
      </c>
      <c r="U106" s="42"/>
      <c r="V106" s="42"/>
      <c r="W106" s="53" t="s">
        <v>3</v>
      </c>
      <c r="X106" s="53" t="s">
        <v>3</v>
      </c>
      <c r="Y106" s="42"/>
      <c r="Z106" s="42"/>
      <c r="AA106" s="24">
        <f>5.142*10^-3</f>
        <v>5.1420000000000007E-3</v>
      </c>
      <c r="AB106" s="24">
        <v>1.891E-2</v>
      </c>
      <c r="AE106" s="55">
        <v>0.16600000000000001</v>
      </c>
      <c r="AF106" s="55"/>
      <c r="AG106" s="55">
        <v>0.254</v>
      </c>
      <c r="AH106" s="55"/>
    </row>
    <row r="107" spans="1:34" x14ac:dyDescent="0.35">
      <c r="A107" s="17">
        <v>51</v>
      </c>
      <c r="B107" s="17">
        <v>1</v>
      </c>
      <c r="C107" s="18">
        <v>-11.691000000000001</v>
      </c>
      <c r="D107" s="18">
        <v>-19.129000000000001</v>
      </c>
      <c r="E107" s="41"/>
      <c r="F107" s="41"/>
      <c r="G107" s="19">
        <v>-17.559000000000001</v>
      </c>
      <c r="H107" s="19">
        <v>-29.902999999999999</v>
      </c>
      <c r="I107" s="41"/>
      <c r="J107" s="41"/>
      <c r="K107" s="20">
        <v>9.6529000000000007</v>
      </c>
      <c r="L107" s="20">
        <v>11.488</v>
      </c>
      <c r="M107" s="41"/>
      <c r="N107" s="41"/>
      <c r="O107" s="21">
        <v>-2.3470000000000001E-2</v>
      </c>
      <c r="P107" s="21">
        <v>-1.5709999999999998E-2</v>
      </c>
      <c r="Q107" s="42"/>
      <c r="R107" s="42"/>
      <c r="S107" s="22">
        <v>7.6280999999999999</v>
      </c>
      <c r="T107" s="22">
        <v>6.6326000000000001</v>
      </c>
      <c r="U107" s="42"/>
      <c r="V107" s="42"/>
      <c r="W107" s="53">
        <v>-8.2000000000000003E-2</v>
      </c>
      <c r="X107" s="53">
        <v>-8.3930000000000005E-2</v>
      </c>
      <c r="Y107" s="49"/>
      <c r="Z107" s="49"/>
      <c r="AA107" s="24">
        <v>2.4E-2</v>
      </c>
      <c r="AB107" s="24">
        <v>0.1951</v>
      </c>
      <c r="AE107" s="54">
        <v>0.17799999999999999</v>
      </c>
      <c r="AF107" s="54">
        <v>0.186</v>
      </c>
      <c r="AG107" s="54">
        <v>0.251</v>
      </c>
      <c r="AH107" s="54">
        <v>0.26300000000000001</v>
      </c>
    </row>
    <row r="108" spans="1:34" x14ac:dyDescent="0.35">
      <c r="A108" s="17">
        <v>51</v>
      </c>
      <c r="B108" s="17">
        <v>2</v>
      </c>
      <c r="C108" s="18">
        <v>-13.224</v>
      </c>
      <c r="D108" s="18">
        <v>-18.347999999999999</v>
      </c>
      <c r="E108" s="41"/>
      <c r="F108" s="41"/>
      <c r="G108" s="19">
        <v>-14.333</v>
      </c>
      <c r="H108" s="19">
        <v>-30.609000000000002</v>
      </c>
      <c r="I108" s="41"/>
      <c r="J108" s="41"/>
      <c r="K108" s="20">
        <v>10.022</v>
      </c>
      <c r="L108" s="20">
        <v>12.675000000000001</v>
      </c>
      <c r="M108" s="41"/>
      <c r="N108" s="41"/>
      <c r="O108" s="21">
        <v>-2.2839999999999999E-2</v>
      </c>
      <c r="P108" s="21">
        <f>0.0248</f>
        <v>2.4799999999999999E-2</v>
      </c>
      <c r="Q108" s="42"/>
      <c r="R108" s="42"/>
      <c r="S108" s="22">
        <v>7.3845999999999998</v>
      </c>
      <c r="T108" s="22">
        <v>6.6805000000000003</v>
      </c>
      <c r="U108" s="42"/>
      <c r="V108" s="42"/>
      <c r="W108" s="53" t="s">
        <v>3</v>
      </c>
      <c r="X108" s="53" t="s">
        <v>3</v>
      </c>
      <c r="Y108" s="42"/>
      <c r="Z108" s="42"/>
      <c r="AA108" s="24">
        <f>6.767*10^-3</f>
        <v>6.7670000000000004E-3</v>
      </c>
      <c r="AB108" s="24">
        <f>3.789*10^-3</f>
        <v>3.7890000000000003E-3</v>
      </c>
      <c r="AE108" s="55">
        <v>0.19400000000000001</v>
      </c>
      <c r="AF108" s="55"/>
      <c r="AG108" s="56">
        <v>0.27</v>
      </c>
      <c r="AH108" s="56"/>
    </row>
    <row r="109" spans="1:34" x14ac:dyDescent="0.35">
      <c r="A109" s="17"/>
      <c r="B109" s="17"/>
      <c r="C109" s="26"/>
      <c r="D109" s="26"/>
      <c r="E109" s="42"/>
      <c r="F109" s="42"/>
      <c r="G109" s="27"/>
      <c r="H109" s="27"/>
      <c r="I109" s="42"/>
      <c r="J109" s="42"/>
      <c r="K109" s="28"/>
      <c r="L109" s="28"/>
      <c r="M109" s="42"/>
      <c r="N109" s="42"/>
      <c r="O109" s="21"/>
      <c r="P109" s="21"/>
      <c r="Q109" s="42"/>
      <c r="R109" s="42"/>
      <c r="S109" s="22"/>
      <c r="T109" s="22"/>
      <c r="U109" s="42"/>
      <c r="V109" s="42"/>
      <c r="W109" s="53"/>
      <c r="X109" s="53"/>
      <c r="Y109" s="49"/>
      <c r="Z109" s="49"/>
      <c r="AA109" s="24"/>
      <c r="AB109" s="24"/>
      <c r="AG109" s="56">
        <v>0.27300000000000002</v>
      </c>
      <c r="AH109" s="56"/>
    </row>
    <row r="110" spans="1:34" x14ac:dyDescent="0.35">
      <c r="A110" s="17" t="s">
        <v>7</v>
      </c>
      <c r="B110" s="17">
        <v>1</v>
      </c>
      <c r="C110" s="26"/>
      <c r="D110" s="26"/>
      <c r="E110" s="42"/>
      <c r="F110" s="42"/>
      <c r="G110" s="19">
        <v>-11.026</v>
      </c>
      <c r="H110" s="19">
        <v>-11.026</v>
      </c>
      <c r="I110" s="41"/>
      <c r="J110" s="41"/>
      <c r="K110" s="28"/>
      <c r="L110" s="28"/>
      <c r="M110" s="42"/>
      <c r="N110" s="42"/>
      <c r="O110" s="21"/>
      <c r="P110" s="21"/>
      <c r="Q110" s="42"/>
      <c r="R110" s="42"/>
      <c r="S110" s="22">
        <v>18.077000000000002</v>
      </c>
      <c r="T110" s="22"/>
      <c r="U110" s="42"/>
      <c r="V110" s="42"/>
      <c r="W110" s="53">
        <v>-7.6880000000000004E-2</v>
      </c>
      <c r="X110" s="53"/>
      <c r="Y110" s="49"/>
      <c r="Z110" s="49"/>
      <c r="AA110" s="24"/>
      <c r="AB110" s="24"/>
      <c r="AG110" s="55">
        <v>0.25700000000000001</v>
      </c>
      <c r="AH110" s="55"/>
    </row>
    <row r="111" spans="1:34" x14ac:dyDescent="0.35">
      <c r="A111" s="17" t="s">
        <v>7</v>
      </c>
      <c r="B111" s="17">
        <v>2</v>
      </c>
      <c r="C111" s="26"/>
      <c r="D111" s="26"/>
      <c r="E111" s="42"/>
      <c r="F111" s="42"/>
      <c r="G111" s="19">
        <v>-10.996</v>
      </c>
      <c r="H111" s="19">
        <v>-10.996</v>
      </c>
      <c r="I111" s="41"/>
      <c r="J111" s="41"/>
      <c r="K111" s="28"/>
      <c r="L111" s="28"/>
      <c r="M111" s="42"/>
      <c r="N111" s="42"/>
      <c r="O111" s="21"/>
      <c r="P111" s="21"/>
      <c r="Q111" s="42"/>
      <c r="R111" s="42"/>
      <c r="S111" s="22">
        <v>18.462</v>
      </c>
      <c r="T111" s="22"/>
      <c r="U111" s="42"/>
      <c r="V111" s="42"/>
      <c r="W111" s="53">
        <v>-8.233E-2</v>
      </c>
      <c r="X111" s="53"/>
      <c r="Y111" s="49"/>
      <c r="Z111" s="49"/>
      <c r="AA111" s="24"/>
      <c r="AB111" s="24"/>
      <c r="AG111" s="54">
        <v>0.253</v>
      </c>
      <c r="AH111" s="54">
        <v>0.26700000000000002</v>
      </c>
    </row>
    <row r="112" spans="1:34" x14ac:dyDescent="0.35">
      <c r="A112" s="17" t="s">
        <v>7</v>
      </c>
      <c r="B112" s="17">
        <v>3</v>
      </c>
      <c r="C112" s="26"/>
      <c r="D112" s="26"/>
      <c r="E112" s="42"/>
      <c r="F112" s="42"/>
      <c r="G112" s="19">
        <v>-10.631</v>
      </c>
      <c r="H112" s="19">
        <v>-10.631</v>
      </c>
      <c r="I112" s="41"/>
      <c r="J112" s="41"/>
      <c r="K112" s="28"/>
      <c r="L112" s="28"/>
      <c r="M112" s="42"/>
      <c r="N112" s="42"/>
      <c r="O112" s="21"/>
      <c r="P112" s="21"/>
      <c r="Q112" s="42"/>
      <c r="R112" s="42"/>
      <c r="S112" s="22">
        <v>19.956</v>
      </c>
      <c r="T112" s="22"/>
      <c r="U112" s="42"/>
      <c r="V112" s="42"/>
      <c r="W112" s="23">
        <v>-9.1340000000000005E-2</v>
      </c>
      <c r="X112" s="23"/>
      <c r="Y112" s="42"/>
      <c r="Z112" s="42"/>
      <c r="AA112" s="24"/>
      <c r="AB112" s="24"/>
      <c r="AG112" s="56">
        <v>0.28599999999999998</v>
      </c>
      <c r="AH112" s="56"/>
    </row>
    <row r="113" spans="1:34" x14ac:dyDescent="0.35">
      <c r="A113" s="17" t="s">
        <v>7</v>
      </c>
      <c r="B113" s="17">
        <v>4</v>
      </c>
      <c r="C113" s="26"/>
      <c r="D113" s="26"/>
      <c r="E113" s="42"/>
      <c r="F113" s="42"/>
      <c r="G113" s="19">
        <v>-11.608000000000001</v>
      </c>
      <c r="H113" s="19">
        <v>-11.608000000000001</v>
      </c>
      <c r="I113" s="41"/>
      <c r="J113" s="41"/>
      <c r="K113" s="28"/>
      <c r="L113" s="28"/>
      <c r="M113" s="42"/>
      <c r="N113" s="42"/>
      <c r="O113" s="21"/>
      <c r="P113" s="21"/>
      <c r="Q113" s="42"/>
      <c r="R113" s="42"/>
      <c r="S113" s="22">
        <v>19.78</v>
      </c>
      <c r="T113" s="22"/>
      <c r="U113" s="42"/>
      <c r="V113" s="42"/>
      <c r="W113" s="23">
        <v>-9.0700000000000003E-2</v>
      </c>
      <c r="X113" s="23"/>
      <c r="Y113" s="42"/>
      <c r="Z113" s="42"/>
      <c r="AA113" s="24"/>
      <c r="AB113" s="24"/>
      <c r="AG113" s="56">
        <v>0.27900000000000003</v>
      </c>
      <c r="AH113" s="56"/>
    </row>
    <row r="114" spans="1:34" x14ac:dyDescent="0.35">
      <c r="A114" s="46" t="s">
        <v>69</v>
      </c>
      <c r="B114" s="17"/>
      <c r="C114" s="26"/>
      <c r="D114" s="26"/>
      <c r="E114" s="42"/>
      <c r="F114" s="42"/>
      <c r="G114" s="47">
        <f>AVERAGE(G110:G113)</f>
        <v>-11.065249999999999</v>
      </c>
      <c r="H114" s="47">
        <f>AVERAGE(H110:H113)</f>
        <v>-11.065249999999999</v>
      </c>
      <c r="I114" s="42"/>
      <c r="J114" s="42"/>
      <c r="K114" s="28"/>
      <c r="L114" s="28"/>
      <c r="M114" s="42"/>
      <c r="N114" s="42"/>
      <c r="O114" s="21"/>
      <c r="P114" s="21"/>
      <c r="Q114" s="42"/>
      <c r="R114" s="42"/>
      <c r="S114" s="51">
        <f>AVERAGE(S110:S113)</f>
        <v>19.068750000000001</v>
      </c>
      <c r="T114" s="22"/>
      <c r="U114" s="42"/>
      <c r="V114" s="42"/>
      <c r="W114" s="23">
        <v>-9.264E-2</v>
      </c>
      <c r="X114" s="23"/>
      <c r="Y114" s="42"/>
      <c r="Z114" s="42"/>
      <c r="AA114" s="24"/>
      <c r="AB114" s="24"/>
      <c r="AG114" s="55">
        <v>0.25</v>
      </c>
      <c r="AH114" s="55"/>
    </row>
    <row r="115" spans="1:34" x14ac:dyDescent="0.35">
      <c r="A115" s="17"/>
      <c r="B115" s="17"/>
      <c r="C115" s="26"/>
      <c r="D115" s="26"/>
      <c r="E115" s="42"/>
      <c r="F115" s="42"/>
      <c r="G115" s="48"/>
      <c r="H115" s="48"/>
      <c r="I115" s="42"/>
      <c r="J115" s="42"/>
      <c r="K115" s="28"/>
      <c r="L115" s="28"/>
      <c r="M115" s="42"/>
      <c r="N115" s="42"/>
      <c r="O115" s="21"/>
      <c r="P115" s="21"/>
      <c r="Q115" s="42"/>
      <c r="R115" s="42"/>
      <c r="S115" s="22"/>
      <c r="T115" s="22"/>
      <c r="U115" s="42"/>
      <c r="V115" s="42"/>
      <c r="W115" s="23">
        <v>-9.3780000000000002E-2</v>
      </c>
      <c r="X115" s="23"/>
      <c r="Y115" s="42"/>
      <c r="Z115" s="42"/>
      <c r="AA115" s="24"/>
      <c r="AB115" s="24"/>
    </row>
    <row r="116" spans="1:34" x14ac:dyDescent="0.35">
      <c r="A116" s="17"/>
      <c r="B116" s="17"/>
      <c r="C116" s="26"/>
      <c r="D116" s="26"/>
      <c r="E116" s="42"/>
      <c r="F116" s="42"/>
      <c r="G116" s="27"/>
      <c r="H116" s="27"/>
      <c r="I116" s="42"/>
      <c r="J116" s="42"/>
      <c r="K116" s="28"/>
      <c r="L116" s="28"/>
      <c r="M116" s="42"/>
      <c r="N116" s="42"/>
      <c r="O116" s="21"/>
      <c r="P116" s="21"/>
      <c r="Q116" s="42"/>
      <c r="R116" s="42"/>
      <c r="S116" s="22"/>
      <c r="T116" s="22"/>
      <c r="U116" s="42"/>
      <c r="V116" s="42"/>
      <c r="W116" s="23">
        <v>-9.6329999999999999E-2</v>
      </c>
      <c r="X116" s="23"/>
      <c r="Y116" s="42"/>
      <c r="Z116" s="42"/>
      <c r="AA116" s="24"/>
      <c r="AB116" s="24"/>
    </row>
    <row r="117" spans="1:34" x14ac:dyDescent="0.35">
      <c r="A117" s="17"/>
      <c r="B117" s="17"/>
      <c r="C117" s="26"/>
      <c r="D117" s="26"/>
      <c r="E117" s="42"/>
      <c r="F117" s="42"/>
      <c r="G117" s="27"/>
      <c r="H117" s="27"/>
      <c r="I117" s="42"/>
      <c r="J117" s="42"/>
      <c r="K117" s="28"/>
      <c r="L117" s="28"/>
      <c r="M117" s="42"/>
      <c r="N117" s="42"/>
      <c r="O117" s="21"/>
      <c r="P117" s="21"/>
      <c r="Q117" s="42"/>
      <c r="R117" s="42"/>
      <c r="S117" s="22"/>
      <c r="T117" s="22"/>
      <c r="U117" s="42"/>
      <c r="V117" s="42"/>
      <c r="W117" s="50">
        <f>AVERAGE(W110:W116)</f>
        <v>-8.9142857142857163E-2</v>
      </c>
      <c r="X117" s="23"/>
      <c r="Y117" s="42"/>
      <c r="Z117" s="42"/>
      <c r="AA117" s="24"/>
      <c r="AB117" s="24"/>
    </row>
    <row r="118" spans="1:34" x14ac:dyDescent="0.35">
      <c r="A118" s="17"/>
      <c r="B118" s="17"/>
      <c r="C118" s="26"/>
      <c r="D118" s="26"/>
      <c r="E118" s="42"/>
      <c r="F118" s="42"/>
      <c r="G118" s="27"/>
      <c r="H118" s="27"/>
      <c r="I118" s="42"/>
      <c r="J118" s="42"/>
      <c r="K118" s="28"/>
      <c r="L118" s="28"/>
      <c r="M118" s="42"/>
      <c r="N118" s="42"/>
      <c r="O118" s="21"/>
      <c r="P118" s="21"/>
      <c r="Q118" s="42"/>
      <c r="R118" s="42"/>
      <c r="S118" s="22"/>
      <c r="T118" s="22"/>
      <c r="U118" s="42"/>
      <c r="V118" s="42"/>
      <c r="W118" s="23"/>
      <c r="X118" s="23"/>
      <c r="Y118" s="42"/>
      <c r="Z118" s="42"/>
      <c r="AA118" s="24"/>
      <c r="AB118" s="24"/>
    </row>
    <row r="119" spans="1:34" x14ac:dyDescent="0.35">
      <c r="B119" t="s">
        <v>68</v>
      </c>
      <c r="C119" t="s">
        <v>23</v>
      </c>
      <c r="D119" t="s">
        <v>24</v>
      </c>
      <c r="E119" s="7" t="s">
        <v>67</v>
      </c>
      <c r="F119" s="7" t="s">
        <v>59</v>
      </c>
      <c r="G119" s="42" t="s">
        <v>25</v>
      </c>
      <c r="H119" s="42" t="s">
        <v>26</v>
      </c>
      <c r="I119" s="8" t="s">
        <v>65</v>
      </c>
      <c r="J119" s="8" t="s">
        <v>66</v>
      </c>
      <c r="K119" s="42" t="s">
        <v>27</v>
      </c>
      <c r="L119" s="42" t="s">
        <v>28</v>
      </c>
      <c r="M119" s="9" t="s">
        <v>70</v>
      </c>
      <c r="N119" s="9" t="s">
        <v>71</v>
      </c>
      <c r="O119" s="42" t="s">
        <v>29</v>
      </c>
      <c r="P119" s="42" t="s">
        <v>30</v>
      </c>
      <c r="Q119" s="10" t="s">
        <v>78</v>
      </c>
      <c r="R119" s="10" t="s">
        <v>79</v>
      </c>
      <c r="S119" s="42" t="s">
        <v>31</v>
      </c>
      <c r="T119" s="42" t="s">
        <v>32</v>
      </c>
      <c r="U119" s="11" t="s">
        <v>83</v>
      </c>
      <c r="V119" s="11" t="s">
        <v>84</v>
      </c>
      <c r="W119" s="42" t="s">
        <v>33</v>
      </c>
      <c r="X119" s="42" t="s">
        <v>34</v>
      </c>
      <c r="Y119" s="15" t="s">
        <v>80</v>
      </c>
      <c r="Z119" s="15" t="s">
        <v>81</v>
      </c>
      <c r="AA119" s="42"/>
      <c r="AB119" s="42"/>
      <c r="AC119" s="43"/>
      <c r="AD119" s="43"/>
      <c r="AE119" t="s">
        <v>118</v>
      </c>
      <c r="AF119" t="s">
        <v>119</v>
      </c>
      <c r="AG119" t="s">
        <v>121</v>
      </c>
      <c r="AH119" t="s">
        <v>120</v>
      </c>
    </row>
    <row r="120" spans="1:34" x14ac:dyDescent="0.35">
      <c r="B120">
        <v>1</v>
      </c>
      <c r="C120" s="45">
        <f>AVERAGE(C7:C8)</f>
        <v>-10.7897</v>
      </c>
      <c r="D120" s="45">
        <f>AVERAGE(D7:D8)</f>
        <v>-11.738</v>
      </c>
      <c r="E120">
        <f>(-C120*C$1*C$4)/(C$3*C$2*0.6*10^-3)</f>
        <v>145389.25383190165</v>
      </c>
      <c r="F120">
        <f>(-D120*D$1*D$4)/(D$3*D$2*0.6*10^-3)</f>
        <v>158167.42462523162</v>
      </c>
      <c r="G120" s="45">
        <f>AVERAGE(G7:G8)-$G$114</f>
        <v>-4.0467500000000012</v>
      </c>
      <c r="H120" s="45">
        <f>AVERAGE(H7:H8)-$H$114</f>
        <v>-6.9092500000000001</v>
      </c>
      <c r="I120" s="42">
        <f>(-G120*G$1*G$4)/(G$3*G$2*0.6*10^-3)</f>
        <v>13.167996031746036</v>
      </c>
      <c r="J120" s="42">
        <f>(-H120*H$1*H$4)/(H$3*H$2*0.6*10^-3)</f>
        <v>11.241240079365079</v>
      </c>
      <c r="K120" s="45">
        <f>AVERAGE(K7:K8)</f>
        <v>17.908000000000001</v>
      </c>
      <c r="L120" s="45">
        <f>AVERAGE(L7:L8)</f>
        <v>5.1715999999999998</v>
      </c>
      <c r="M120" s="42">
        <f>(K120*K$1*K$4)/(K$3*K$2*0.6*10^-3)</f>
        <v>994.88888888888891</v>
      </c>
      <c r="N120" s="42">
        <f>(L120*L$1*L$4)/(L$3*L$2*0.6*10^-3)</f>
        <v>574.62222222222215</v>
      </c>
      <c r="O120" s="45">
        <f>AVERAGE(O7:O8)</f>
        <v>-3.0649999999999997E-2</v>
      </c>
      <c r="P120" s="45">
        <f>AVERAGE(P7:P8)</f>
        <v>-0.16364500000000001</v>
      </c>
      <c r="Q120" s="42">
        <f>(-O120*O$1*O$4)/(O$3*O$2*0.6*10^-3)</f>
        <v>8.6233922829581991E-2</v>
      </c>
      <c r="R120" s="42">
        <f>(-P120*P$1*P$4)/(P$3*P$2*0.6*10^-3)</f>
        <v>0.87698285101822071</v>
      </c>
      <c r="S120" s="45">
        <f>AVERAGE(S7:S8)</f>
        <v>7.2313000000000001</v>
      </c>
      <c r="T120" s="45">
        <f>AVERAGE(T7:T8)</f>
        <v>7.42875</v>
      </c>
      <c r="U120" s="42">
        <f>(S176/0.5)*(4/10)</f>
        <v>0.49662196001311049</v>
      </c>
      <c r="V120" s="42">
        <f>(T176/0.5)*(4/10)</f>
        <v>0.48833824975417894</v>
      </c>
      <c r="W120" s="42">
        <f>Q176-$W$117</f>
        <v>4.9528571428571616E-3</v>
      </c>
      <c r="X120" s="42">
        <f>R176-$W$117</f>
        <v>1.1142857142857163E-2</v>
      </c>
      <c r="Y120" s="42">
        <f>(-W120*W$1*W$4)/(W$3*W$2*0.6*10^-3)</f>
        <v>-9.732302352881167E-3</v>
      </c>
      <c r="Z120" s="42">
        <f>(-X120*X$1*X$4)/(X$3*X$2*0.6*10^-3)</f>
        <v>-2.1895574950237369E-2</v>
      </c>
      <c r="AA120" s="42"/>
      <c r="AB120" s="42"/>
      <c r="AC120" s="43"/>
      <c r="AD120" s="43"/>
      <c r="AE120">
        <v>0.27500000000000002</v>
      </c>
    </row>
    <row r="121" spans="1:34" x14ac:dyDescent="0.35">
      <c r="B121">
        <v>2</v>
      </c>
      <c r="C121" s="45">
        <f>AVERAGE(C9:C10)</f>
        <v>-5.3513500000000001</v>
      </c>
      <c r="D121" s="45">
        <f>AVERAGE(D9:D10)</f>
        <v>-13.102</v>
      </c>
      <c r="E121" t="e">
        <f>(-#REF!*C$1*C$4)/(C$3*C$2*0.6*10^-3)</f>
        <v>#REF!</v>
      </c>
      <c r="F121">
        <f t="shared" ref="F121:F170" si="0">(-D121*D$1*D$4)/(D$3*D$2*0.6*10^-3)</f>
        <v>176547.07764864413</v>
      </c>
      <c r="G121" s="45">
        <f>AVERAGE(G9:G10)-$G$114</f>
        <v>-3.2777500000000011</v>
      </c>
      <c r="H121" s="45">
        <f>AVERAGE(H9:H10)-$H$114</f>
        <v>-11.585750000000001</v>
      </c>
      <c r="I121" s="42" t="e">
        <f>(-#REF!*G$1*G$4)/(G$3*G$2*0.6*10^-3)</f>
        <v>#REF!</v>
      </c>
      <c r="J121" s="42" t="e">
        <f>(-#REF!*H$1*H$4)/(H$3*H$2*0.6*10^-3)</f>
        <v>#REF!</v>
      </c>
      <c r="K121" s="45">
        <f t="shared" ref="K121:L170" si="1">AVERAGE(K8:K9)</f>
        <v>14.4535</v>
      </c>
      <c r="L121" s="45">
        <f t="shared" si="1"/>
        <v>6.0958500000000004</v>
      </c>
      <c r="M121" s="42">
        <f t="shared" ref="M121:N170" si="2">(K121*K$1*K$4)/(K$3*K$2*0.6*10^-3)</f>
        <v>802.97222222222217</v>
      </c>
      <c r="N121" s="42">
        <f t="shared" si="2"/>
        <v>677.31666666666672</v>
      </c>
      <c r="O121" s="45">
        <f t="shared" ref="O121:P121" si="3">AVERAGE(O8:O9)</f>
        <v>-2.529E-2</v>
      </c>
      <c r="P121" s="45">
        <f t="shared" si="3"/>
        <v>-1.6789999999999999E-2</v>
      </c>
      <c r="Q121" s="42">
        <f t="shared" ref="Q121:R170" si="4">(-O121*O$1*O$4)/(O$3*O$2*0.6*10^-3)</f>
        <v>7.1153536977491966E-2</v>
      </c>
      <c r="R121" s="42">
        <f t="shared" si="4"/>
        <v>8.997856377277598E-2</v>
      </c>
      <c r="S121" s="45">
        <f t="shared" ref="S121:T121" si="5">AVERAGE(S8:S9)</f>
        <v>7.8186999999999998</v>
      </c>
      <c r="T121" s="45">
        <f t="shared" si="5"/>
        <v>6.7671000000000001</v>
      </c>
      <c r="U121" s="42">
        <f t="shared" ref="U121:V170" si="6">(S177/0.5)*(4/10)</f>
        <v>0.47197849885283516</v>
      </c>
      <c r="V121" s="42">
        <f t="shared" si="6"/>
        <v>0.51609675516224196</v>
      </c>
      <c r="W121" s="42">
        <f t="shared" ref="W121:X170" si="7">Q177-$W$117</f>
        <v>-5.1157142857142845E-2</v>
      </c>
      <c r="X121" s="42">
        <f t="shared" si="7"/>
        <v>-0.10645714285714283</v>
      </c>
      <c r="Y121" s="42">
        <f t="shared" ref="Y121:Z170" si="8">(-W121*W$1*W$4)/(W$3*W$2*0.6*10^-3)</f>
        <v>0.10052314602153828</v>
      </c>
      <c r="Z121" s="42">
        <f t="shared" si="8"/>
        <v>0.20918695452457506</v>
      </c>
      <c r="AA121" s="42"/>
      <c r="AB121" s="42"/>
      <c r="AC121" s="43"/>
      <c r="AD121" s="43"/>
      <c r="AE121">
        <v>0.191</v>
      </c>
    </row>
    <row r="122" spans="1:34" x14ac:dyDescent="0.35">
      <c r="B122">
        <v>3</v>
      </c>
      <c r="C122" s="45">
        <f>AVERAGE(C11:C12)</f>
        <v>-7.3625999999999996</v>
      </c>
      <c r="D122" s="45">
        <f>AVERAGE(D11:D12)</f>
        <v>-15.212</v>
      </c>
      <c r="E122">
        <f>(-C121*C$1*C$4)/(C$3*C$2*0.6*10^-3)</f>
        <v>72108.472292403574</v>
      </c>
      <c r="F122">
        <f t="shared" si="0"/>
        <v>204978.9455954186</v>
      </c>
      <c r="G122" s="45">
        <f>AVERAGE(G11:G12)-$G$114</f>
        <v>-8.5577499999999986</v>
      </c>
      <c r="H122" s="45">
        <f>AVERAGE(H11:H12)-$H$114</f>
        <v>-8.5637499999999989</v>
      </c>
      <c r="I122" s="42">
        <f>(-G121*G$1*G$4)/(G$3*G$2*0.6*10^-3)</f>
        <v>10.665694444444448</v>
      </c>
      <c r="J122" s="42">
        <f>(-H121*H$1*H$4)/(H$3*H$2*0.6*10^-3)</f>
        <v>18.849831349206351</v>
      </c>
      <c r="K122" s="45">
        <f t="shared" si="1"/>
        <v>11.346499999999999</v>
      </c>
      <c r="L122" s="45">
        <f t="shared" si="1"/>
        <v>7.1029499999999999</v>
      </c>
      <c r="M122" s="42">
        <f t="shared" si="2"/>
        <v>630.36111111111097</v>
      </c>
      <c r="N122" s="42">
        <f t="shared" si="2"/>
        <v>789.21666666666658</v>
      </c>
      <c r="O122" s="45">
        <f t="shared" ref="O122:P122" si="9">AVERAGE(O9:O10)</f>
        <v>-2.4274999999999998E-2</v>
      </c>
      <c r="P122" s="45">
        <f t="shared" si="9"/>
        <v>-1.8419999999999999E-2</v>
      </c>
      <c r="Q122" s="42">
        <f t="shared" si="4"/>
        <v>6.8297829581993569E-2</v>
      </c>
      <c r="R122" s="42">
        <f t="shared" si="4"/>
        <v>9.8713826366559482E-2</v>
      </c>
      <c r="S122" s="45">
        <f t="shared" ref="S122:T122" si="10">AVERAGE(S9:S10)</f>
        <v>7.9558499999999999</v>
      </c>
      <c r="T122" s="45">
        <f t="shared" si="10"/>
        <v>7.4959500000000006</v>
      </c>
      <c r="U122" s="42">
        <f t="shared" si="6"/>
        <v>0.46622458210422818</v>
      </c>
      <c r="V122" s="42">
        <f t="shared" si="6"/>
        <v>0.48551897738446415</v>
      </c>
      <c r="W122" s="42">
        <f t="shared" si="7"/>
        <v>-5.1157142857142845E-2</v>
      </c>
      <c r="X122" s="42">
        <f t="shared" si="7"/>
        <v>3.3142857142857161E-2</v>
      </c>
      <c r="Y122" s="42">
        <f t="shared" si="8"/>
        <v>0.10052314602153828</v>
      </c>
      <c r="Z122" s="42">
        <f t="shared" si="8"/>
        <v>-6.5125299851987992E-2</v>
      </c>
      <c r="AA122" s="43"/>
      <c r="AB122" s="43"/>
      <c r="AC122" s="43"/>
      <c r="AD122" s="43"/>
      <c r="AE122">
        <v>0.21299999999999999</v>
      </c>
    </row>
    <row r="123" spans="1:34" x14ac:dyDescent="0.35">
      <c r="B123">
        <v>4</v>
      </c>
      <c r="C123" s="45">
        <f>AVERAGE(C13:C14)</f>
        <v>-7.7692499999999995</v>
      </c>
      <c r="D123" s="45">
        <f>AVERAGE(D13:D14)</f>
        <v>-16.610999999999997</v>
      </c>
      <c r="E123" t="e">
        <f>(-#REF!*C$1*C$4)/(C$3*C$2*0.6*10^-3)</f>
        <v>#REF!</v>
      </c>
      <c r="F123">
        <f t="shared" si="0"/>
        <v>223830.21728145526</v>
      </c>
      <c r="G123" s="45">
        <f>AVERAGE(G13:G14)-$G$114</f>
        <v>-9.401250000000001</v>
      </c>
      <c r="H123" s="45">
        <f>AVERAGE(H13:H14)-$H$114</f>
        <v>-11.534750000000003</v>
      </c>
      <c r="I123" s="42" t="e">
        <f>(-#REF!*G$1*G$4)/(G$3*G$2*0.6*10^-3)</f>
        <v>#REF!</v>
      </c>
      <c r="J123" s="42" t="e">
        <f>(-#REF!*H$1*H$4)/(H$3*H$2*0.6*10^-3)</f>
        <v>#REF!</v>
      </c>
      <c r="K123" s="45">
        <f t="shared" si="1"/>
        <v>13.935500000000001</v>
      </c>
      <c r="L123" s="45">
        <f t="shared" si="1"/>
        <v>8.0846999999999998</v>
      </c>
      <c r="M123" s="42">
        <f t="shared" si="2"/>
        <v>774.19444444444457</v>
      </c>
      <c r="N123" s="42">
        <f t="shared" si="2"/>
        <v>898.3</v>
      </c>
      <c r="O123" s="45">
        <f t="shared" ref="O123:P123" si="11">AVERAGE(O10:O11)</f>
        <v>-2.2765000000000001E-2</v>
      </c>
      <c r="P123" s="45">
        <f t="shared" si="11"/>
        <v>-1.6285000000000001E-2</v>
      </c>
      <c r="Q123" s="42">
        <f t="shared" si="4"/>
        <v>6.4049437299035381E-2</v>
      </c>
      <c r="R123" s="42">
        <f t="shared" si="4"/>
        <v>8.7272240085744912E-2</v>
      </c>
      <c r="S123" s="45">
        <f t="shared" ref="S123:T123" si="12">AVERAGE(S10:S11)</f>
        <v>7.8659499999999998</v>
      </c>
      <c r="T123" s="45">
        <f t="shared" si="12"/>
        <v>8.3074499999999993</v>
      </c>
      <c r="U123" s="42">
        <f t="shared" si="6"/>
        <v>0.46999619796787945</v>
      </c>
      <c r="V123" s="42">
        <f t="shared" si="6"/>
        <v>0.45147374631268439</v>
      </c>
      <c r="W123" s="42">
        <f t="shared" si="7"/>
        <v>-0.11725714285714284</v>
      </c>
      <c r="X123" s="42">
        <f t="shared" si="7"/>
        <v>-0.14125714285714283</v>
      </c>
      <c r="Y123" s="42">
        <f t="shared" si="8"/>
        <v>0.23040881947634356</v>
      </c>
      <c r="Z123" s="42">
        <f t="shared" si="8"/>
        <v>0.27756851936916238</v>
      </c>
      <c r="AA123" s="43"/>
      <c r="AB123" s="43"/>
      <c r="AC123" s="43"/>
      <c r="AD123" s="43"/>
      <c r="AE123">
        <v>0.187</v>
      </c>
    </row>
    <row r="124" spans="1:34" x14ac:dyDescent="0.35">
      <c r="B124">
        <v>5</v>
      </c>
      <c r="C124" s="45">
        <f>AVERAGE(C15:C16)</f>
        <v>-4.7940500000000004</v>
      </c>
      <c r="D124" s="45">
        <f>AVERAGE(D15:D16)</f>
        <v>-16.356499999999997</v>
      </c>
      <c r="E124">
        <f>(-C122*C$1*C$4)/(C$3*C$2*0.6*10^-3)</f>
        <v>99209.701869631142</v>
      </c>
      <c r="F124">
        <f t="shared" si="0"/>
        <v>220400.87586323055</v>
      </c>
      <c r="G124" s="45">
        <f>AVERAGE(G15:G16)-$G$114</f>
        <v>-3.5577500000000004</v>
      </c>
      <c r="H124" s="45">
        <f>AVERAGE(H15:H16)-$H$114</f>
        <v>-9.0647500000000001</v>
      </c>
      <c r="I124" s="42">
        <f>(-G122*G$1*G$4)/(G$3*G$2*0.6*10^-3)</f>
        <v>27.846646825396821</v>
      </c>
      <c r="J124" s="42">
        <f>(-H122*H$1*H$4)/(H$3*H$2*0.6*10^-3)</f>
        <v>13.933085317460314</v>
      </c>
      <c r="K124" s="45">
        <f t="shared" si="1"/>
        <v>15.070499999999999</v>
      </c>
      <c r="L124" s="45">
        <f t="shared" si="1"/>
        <v>8.638300000000001</v>
      </c>
      <c r="M124" s="42">
        <f t="shared" si="2"/>
        <v>837.25</v>
      </c>
      <c r="N124" s="42">
        <f t="shared" si="2"/>
        <v>959.81111111111125</v>
      </c>
      <c r="O124" s="45">
        <f t="shared" ref="O124:P124" si="13">AVERAGE(O11:O12)</f>
        <v>-1.9505000000000002E-2</v>
      </c>
      <c r="P124" s="45">
        <f t="shared" si="13"/>
        <v>-2.4324999999999999E-2</v>
      </c>
      <c r="Q124" s="42">
        <f t="shared" si="4"/>
        <v>5.4877411575562703E-2</v>
      </c>
      <c r="R124" s="42">
        <f t="shared" si="4"/>
        <v>0.13035905680600215</v>
      </c>
      <c r="S124" s="45">
        <f t="shared" ref="S124:T124" si="14">AVERAGE(S11:S12)</f>
        <v>8.4469500000000011</v>
      </c>
      <c r="T124" s="45">
        <f t="shared" si="14"/>
        <v>8.9126499999999993</v>
      </c>
      <c r="U124" s="42">
        <f t="shared" si="6"/>
        <v>0.44562123893805317</v>
      </c>
      <c r="V124" s="42">
        <f t="shared" si="6"/>
        <v>0.42608351360209779</v>
      </c>
      <c r="W124" s="42">
        <f t="shared" si="7"/>
        <v>-6.4157142857142829E-2</v>
      </c>
      <c r="X124" s="42">
        <f t="shared" si="7"/>
        <v>2.5142857142857161E-2</v>
      </c>
      <c r="Y124" s="42">
        <f t="shared" si="8"/>
        <v>0.12606798346348178</v>
      </c>
      <c r="Z124" s="42">
        <f t="shared" si="8"/>
        <v>-4.9405399887715036E-2</v>
      </c>
      <c r="AA124" s="43"/>
      <c r="AB124" s="43"/>
      <c r="AC124" s="43"/>
      <c r="AD124" s="43"/>
      <c r="AE124">
        <v>0.13800000000000001</v>
      </c>
    </row>
    <row r="125" spans="1:34" x14ac:dyDescent="0.35">
      <c r="B125">
        <v>6</v>
      </c>
      <c r="C125" s="45">
        <f>AVERAGE(C17:C18)</f>
        <v>-9.2689000000000004</v>
      </c>
      <c r="D125" s="45">
        <f>AVERAGE(D17:D18)</f>
        <v>-16.442</v>
      </c>
      <c r="E125" t="e">
        <f>(-#REF!*C$1*C$4)/(C$3*C$2*0.6*10^-3)</f>
        <v>#REF!</v>
      </c>
      <c r="F125">
        <f t="shared" si="0"/>
        <v>221552.97288192692</v>
      </c>
      <c r="G125" s="45">
        <f>AVERAGE(G17:G18)-$G$114</f>
        <v>-4.9652500000000011</v>
      </c>
      <c r="H125" s="45">
        <f>AVERAGE(H17:H18)-$H$114</f>
        <v>-13.007750000000001</v>
      </c>
      <c r="I125" s="42" t="e">
        <f>(-#REF!*G$1*G$4)/(G$3*G$2*0.6*10^-3)</f>
        <v>#REF!</v>
      </c>
      <c r="J125" s="42" t="e">
        <f>(-#REF!*H$1*H$4)/(H$3*H$2*0.6*10^-3)</f>
        <v>#REF!</v>
      </c>
      <c r="K125" s="45">
        <f t="shared" si="1"/>
        <v>12.542</v>
      </c>
      <c r="L125" s="45">
        <f t="shared" si="1"/>
        <v>9.0573000000000015</v>
      </c>
      <c r="M125" s="42">
        <f t="shared" si="2"/>
        <v>696.77777777777783</v>
      </c>
      <c r="N125" s="42">
        <f t="shared" si="2"/>
        <v>1006.3666666666668</v>
      </c>
      <c r="O125" s="45">
        <f t="shared" ref="O125:P125" si="15">AVERAGE(O12:O13)</f>
        <v>-2.2720000000000001E-2</v>
      </c>
      <c r="P125" s="45">
        <f t="shared" si="15"/>
        <v>-3.1545000000000004E-2</v>
      </c>
      <c r="Q125" s="42">
        <f t="shared" si="4"/>
        <v>6.3922829581993579E-2</v>
      </c>
      <c r="R125" s="42">
        <f t="shared" si="4"/>
        <v>0.16905144694533764</v>
      </c>
      <c r="S125" s="45">
        <f t="shared" ref="S125:T125" si="16">AVERAGE(S12:S13)</f>
        <v>8.5691500000000005</v>
      </c>
      <c r="T125" s="45">
        <f t="shared" si="16"/>
        <v>7.8881499999999996</v>
      </c>
      <c r="U125" s="42">
        <f t="shared" si="6"/>
        <v>0.44049452638479192</v>
      </c>
      <c r="V125" s="42">
        <f t="shared" si="6"/>
        <v>0.46906483120288434</v>
      </c>
      <c r="W125" s="42">
        <f t="shared" si="7"/>
        <v>-9.9714285714283535E-4</v>
      </c>
      <c r="X125" s="42">
        <f t="shared" si="7"/>
        <v>1.5892857142857167E-2</v>
      </c>
      <c r="Y125" s="42">
        <f t="shared" si="8"/>
        <v>1.9593732455468358E-3</v>
      </c>
      <c r="Z125" s="42">
        <f t="shared" si="8"/>
        <v>-3.1229265554024443E-2</v>
      </c>
      <c r="AA125" s="43"/>
      <c r="AB125" s="43"/>
      <c r="AC125" s="43"/>
      <c r="AD125" s="43"/>
      <c r="AE125">
        <v>0.187</v>
      </c>
    </row>
    <row r="126" spans="1:34" x14ac:dyDescent="0.35">
      <c r="B126">
        <v>7</v>
      </c>
      <c r="C126" s="45">
        <f>AVERAGE(C19:C20)</f>
        <v>-7.7476500000000001</v>
      </c>
      <c r="D126" s="45">
        <f>AVERAGE(D19:D20)</f>
        <v>-14.8765</v>
      </c>
      <c r="E126">
        <f>(-C123*C$1*C$4)/(C$3*C$2*0.6*10^-3)</f>
        <v>104689.23698837798</v>
      </c>
      <c r="F126">
        <f t="shared" si="0"/>
        <v>200458.14384369215</v>
      </c>
      <c r="G126" s="45">
        <f>AVERAGE(G19:G20)-$G$114</f>
        <v>-8.2887500000000003</v>
      </c>
      <c r="H126" s="45">
        <f>AVERAGE(H19:H20)-$H$114</f>
        <v>-13.988250000000001</v>
      </c>
      <c r="I126" s="42">
        <f>(-G123*G$1*G$4)/(G$3*G$2*0.6*10^-3)</f>
        <v>30.59136904761905</v>
      </c>
      <c r="J126" s="42">
        <f>(-H123*H$1*H$4)/(H$3*H$2*0.6*10^-3)</f>
        <v>18.766855158730163</v>
      </c>
      <c r="K126" s="45">
        <f t="shared" si="1"/>
        <v>10.754000000000001</v>
      </c>
      <c r="L126" s="45">
        <f t="shared" si="1"/>
        <v>9.3584999999999994</v>
      </c>
      <c r="M126" s="42">
        <f t="shared" si="2"/>
        <v>597.44444444444446</v>
      </c>
      <c r="N126" s="42">
        <f t="shared" si="2"/>
        <v>1039.8333333333333</v>
      </c>
      <c r="O126" s="45">
        <f t="shared" ref="O126:P126" si="17">AVERAGE(O13:O14)</f>
        <v>-2.4645E-2</v>
      </c>
      <c r="P126" s="45">
        <f t="shared" si="17"/>
        <v>-2.7890000000000002E-2</v>
      </c>
      <c r="Q126" s="42">
        <f t="shared" si="4"/>
        <v>6.9338826366559483E-2</v>
      </c>
      <c r="R126" s="42">
        <f t="shared" si="4"/>
        <v>0.1494640943193998</v>
      </c>
      <c r="S126" s="45">
        <f t="shared" ref="S126:T126" si="18">AVERAGE(S13:S14)</f>
        <v>8.0723000000000003</v>
      </c>
      <c r="T126" s="45">
        <f t="shared" si="18"/>
        <v>6.2662999999999993</v>
      </c>
      <c r="U126" s="42">
        <f t="shared" si="6"/>
        <v>0.46133910193379224</v>
      </c>
      <c r="V126" s="42">
        <f t="shared" si="6"/>
        <v>0.53710704686987876</v>
      </c>
      <c r="W126" s="42">
        <f t="shared" si="7"/>
        <v>-7.3557142857142849E-2</v>
      </c>
      <c r="X126" s="42">
        <f t="shared" si="7"/>
        <v>2.8172857142857159E-2</v>
      </c>
      <c r="Y126" s="42">
        <f t="shared" si="8"/>
        <v>0.14453886592150256</v>
      </c>
      <c r="Z126" s="42">
        <f t="shared" si="8"/>
        <v>-5.5359311999183411E-2</v>
      </c>
      <c r="AA126" s="43"/>
      <c r="AB126" s="43"/>
      <c r="AC126" s="43"/>
      <c r="AD126" s="43"/>
      <c r="AE126">
        <v>0.217</v>
      </c>
    </row>
    <row r="127" spans="1:34" x14ac:dyDescent="0.35">
      <c r="B127">
        <v>8</v>
      </c>
      <c r="C127" s="45">
        <f>AVERAGE(C21:C22)</f>
        <v>-13.567</v>
      </c>
      <c r="D127" s="45">
        <f>AVERAGE(D21:D22)</f>
        <v>-11.349500000000001</v>
      </c>
      <c r="E127" t="e">
        <f>(-#REF!*C$1*C$4)/(C$3*C$2*0.6*10^-3)</f>
        <v>#REF!</v>
      </c>
      <c r="F127">
        <f t="shared" si="0"/>
        <v>152932.45747010276</v>
      </c>
      <c r="G127" s="45">
        <f>AVERAGE(G21:G22)-$G$114</f>
        <v>-14.740749999999998</v>
      </c>
      <c r="H127" s="45">
        <f>AVERAGE(H21:H22)-$H$114</f>
        <v>-10.033750000000001</v>
      </c>
      <c r="I127" s="42" t="e">
        <f>(-#REF!*G$1*G$4)/(G$3*G$2*0.6*10^-3)</f>
        <v>#REF!</v>
      </c>
      <c r="J127" s="42" t="e">
        <f>(-#REF!*H$1*H$4)/(H$3*H$2*0.6*10^-3)</f>
        <v>#REF!</v>
      </c>
      <c r="K127" s="45">
        <f t="shared" si="1"/>
        <v>10.0518</v>
      </c>
      <c r="L127" s="45">
        <f t="shared" si="1"/>
        <v>9.89</v>
      </c>
      <c r="M127" s="42">
        <f t="shared" si="2"/>
        <v>558.43333333333339</v>
      </c>
      <c r="N127" s="42">
        <f t="shared" si="2"/>
        <v>1098.8888888888889</v>
      </c>
      <c r="O127" s="45">
        <f t="shared" ref="O127:P127" si="19">AVERAGE(O14:O15)</f>
        <v>-2.1694999999999999E-2</v>
      </c>
      <c r="P127" s="45">
        <f t="shared" si="19"/>
        <v>-2.0420000000000001E-2</v>
      </c>
      <c r="Q127" s="42">
        <f t="shared" si="4"/>
        <v>6.1038987138263667E-2</v>
      </c>
      <c r="R127" s="42">
        <f t="shared" si="4"/>
        <v>0.10943193997856379</v>
      </c>
      <c r="S127" s="45">
        <f t="shared" ref="S127:T127" si="20">AVERAGE(S14:S15)</f>
        <v>8.90015</v>
      </c>
      <c r="T127" s="45">
        <f t="shared" si="20"/>
        <v>6.0989000000000004</v>
      </c>
      <c r="U127" s="42">
        <f t="shared" si="6"/>
        <v>0.426607931825631</v>
      </c>
      <c r="V127" s="42">
        <f t="shared" si="6"/>
        <v>0.54413005571943629</v>
      </c>
      <c r="W127" s="42">
        <f t="shared" si="7"/>
        <v>-0.14285714285714285</v>
      </c>
      <c r="X127" s="42">
        <f t="shared" si="7"/>
        <v>3.9428571428571646E-3</v>
      </c>
      <c r="Y127" s="42">
        <f t="shared" si="8"/>
        <v>0.28071249936201703</v>
      </c>
      <c r="Z127" s="42">
        <f t="shared" si="8"/>
        <v>-7.7476649823917127E-3</v>
      </c>
      <c r="AA127" s="43"/>
      <c r="AB127" s="43"/>
      <c r="AC127" s="43"/>
      <c r="AD127" s="43"/>
      <c r="AE127">
        <v>0.25600000000000001</v>
      </c>
    </row>
    <row r="128" spans="1:34" x14ac:dyDescent="0.35">
      <c r="B128">
        <v>9</v>
      </c>
      <c r="C128" s="45">
        <f>AVERAGE(C23:C24)</f>
        <v>-7.5870499999999996</v>
      </c>
      <c r="D128" s="45">
        <f>AVERAGE(D23:D24)</f>
        <v>-26.097999999999999</v>
      </c>
      <c r="E128">
        <f>(-C124*C$1*C$4)/(C$3*C$2*0.6*10^-3)</f>
        <v>64598.955701532774</v>
      </c>
      <c r="F128">
        <f t="shared" si="0"/>
        <v>351665.82449048344</v>
      </c>
      <c r="G128" s="45">
        <f>AVERAGE(G23:G24)-$G$114</f>
        <v>-9.2522500000000001</v>
      </c>
      <c r="H128" s="45">
        <f>AVERAGE(H23:H24)-$H$114</f>
        <v>-8.8772500000000036</v>
      </c>
      <c r="I128" s="42">
        <f>(-G124*G$1*G$4)/(G$3*G$2*0.6*10^-3)</f>
        <v>11.576805555555557</v>
      </c>
      <c r="J128" s="42">
        <f>(-H124*H$1*H$4)/(H$3*H$2*0.6*10^-3)</f>
        <v>14.748204365079365</v>
      </c>
      <c r="K128" s="45">
        <f t="shared" si="1"/>
        <v>9.5443999999999996</v>
      </c>
      <c r="L128" s="45">
        <f t="shared" si="1"/>
        <v>9.7741499999999988</v>
      </c>
      <c r="M128" s="42">
        <f t="shared" si="2"/>
        <v>530.24444444444441</v>
      </c>
      <c r="N128" s="42">
        <f t="shared" si="2"/>
        <v>1086.0166666666664</v>
      </c>
      <c r="O128" s="45">
        <f t="shared" ref="O128:P128" si="21">AVERAGE(O15:O16)</f>
        <v>-1.8855E-2</v>
      </c>
      <c r="P128" s="45">
        <f t="shared" si="21"/>
        <v>-1.542E-2</v>
      </c>
      <c r="Q128" s="42">
        <f t="shared" si="4"/>
        <v>5.304863344051447E-2</v>
      </c>
      <c r="R128" s="42">
        <f t="shared" si="4"/>
        <v>8.2636655948553059E-2</v>
      </c>
      <c r="S128" s="45">
        <f t="shared" ref="S128:T128" si="22">AVERAGE(S15:S16)</f>
        <v>9.9887499999999996</v>
      </c>
      <c r="T128" s="45">
        <f t="shared" si="22"/>
        <v>6.4006500000000006</v>
      </c>
      <c r="U128" s="42">
        <f t="shared" si="6"/>
        <v>0.38093739757456579</v>
      </c>
      <c r="V128" s="42">
        <f t="shared" si="6"/>
        <v>0.53147059980334321</v>
      </c>
      <c r="W128" s="42">
        <f t="shared" si="7"/>
        <v>3.6228571428571638E-3</v>
      </c>
      <c r="X128" s="42">
        <f t="shared" si="7"/>
        <v>-2.5157142857142836E-2</v>
      </c>
      <c r="Y128" s="42">
        <f t="shared" si="8"/>
        <v>-7.1188689838207935E-3</v>
      </c>
      <c r="Z128" s="42">
        <f t="shared" si="8"/>
        <v>4.9433471137651161E-2</v>
      </c>
      <c r="AA128" s="43"/>
      <c r="AB128" s="43"/>
      <c r="AC128" s="43"/>
      <c r="AD128" s="43"/>
      <c r="AE128">
        <v>0.11899999999999999</v>
      </c>
    </row>
    <row r="129" spans="2:31" x14ac:dyDescent="0.35">
      <c r="B129">
        <v>10</v>
      </c>
      <c r="C129" s="45">
        <f>AVERAGE(C25:C26)</f>
        <v>-6.3127499999999994</v>
      </c>
      <c r="D129" s="45">
        <f>AVERAGE(D25:D26)</f>
        <v>-18.328499999999998</v>
      </c>
      <c r="E129" t="e">
        <f>(-#REF!*C$1*C$4)/(C$3*C$2*0.6*10^-3)</f>
        <v>#REF!</v>
      </c>
      <c r="F129">
        <f t="shared" si="0"/>
        <v>246973.21879737242</v>
      </c>
      <c r="G129" s="45">
        <f>AVERAGE(G25:G26)-$G$114</f>
        <v>-7.3302499999999995</v>
      </c>
      <c r="H129" s="45">
        <f>AVERAGE(H25:H26)-$H$114</f>
        <v>-10.385249999999999</v>
      </c>
      <c r="I129" s="42" t="e">
        <f>(-#REF!*G$1*G$4)/(G$3*G$2*0.6*10^-3)</f>
        <v>#REF!</v>
      </c>
      <c r="J129" s="42" t="e">
        <f>(-#REF!*H$1*H$4)/(H$3*H$2*0.6*10^-3)</f>
        <v>#REF!</v>
      </c>
      <c r="K129" s="45">
        <f t="shared" si="1"/>
        <v>14.6416</v>
      </c>
      <c r="L129" s="45">
        <f t="shared" si="1"/>
        <v>10.00165</v>
      </c>
      <c r="M129" s="42">
        <f t="shared" si="2"/>
        <v>813.42222222222222</v>
      </c>
      <c r="N129" s="42">
        <f t="shared" si="2"/>
        <v>1111.2944444444445</v>
      </c>
      <c r="O129" s="45">
        <f t="shared" ref="O129:P129" si="23">AVERAGE(O16:O17)</f>
        <v>-2.1019999999999997E-2</v>
      </c>
      <c r="P129" s="45">
        <f t="shared" si="23"/>
        <v>-3.2660000000000002E-2</v>
      </c>
      <c r="Q129" s="42">
        <f t="shared" si="4"/>
        <v>5.9139871382636648E-2</v>
      </c>
      <c r="R129" s="42">
        <f t="shared" si="4"/>
        <v>0.17502679528403001</v>
      </c>
      <c r="S129" s="45">
        <f t="shared" ref="S129:T129" si="24">AVERAGE(S16:S17)</f>
        <v>9.3303499999999993</v>
      </c>
      <c r="T129" s="45">
        <f t="shared" si="24"/>
        <v>6.7049500000000002</v>
      </c>
      <c r="U129" s="42">
        <f t="shared" si="6"/>
        <v>0.40855955424451013</v>
      </c>
      <c r="V129" s="42">
        <f t="shared" si="6"/>
        <v>0.51870416256964935</v>
      </c>
      <c r="W129" s="42">
        <f t="shared" si="7"/>
        <v>-3.4457142857142839E-2</v>
      </c>
      <c r="X129" s="42">
        <f t="shared" si="7"/>
        <v>-3.3757142857142833E-2</v>
      </c>
      <c r="Y129" s="42">
        <f t="shared" si="8"/>
        <v>6.7707854846118465E-2</v>
      </c>
      <c r="Z129" s="42">
        <f t="shared" si="8"/>
        <v>6.6332363599244576E-2</v>
      </c>
      <c r="AA129" s="43"/>
      <c r="AB129" s="43"/>
      <c r="AC129" s="43"/>
      <c r="AD129" s="43"/>
      <c r="AE129">
        <v>0.22500000000000001</v>
      </c>
    </row>
    <row r="130" spans="2:31" x14ac:dyDescent="0.35">
      <c r="B130">
        <v>11</v>
      </c>
      <c r="C130" s="45">
        <f>AVERAGE(C27:C28)</f>
        <v>-13.353</v>
      </c>
      <c r="D130" s="45">
        <f>AVERAGE(D27:D28)</f>
        <v>-18.183999999999997</v>
      </c>
      <c r="E130">
        <f>(-C125*C$1*C$4)/(C$3*C$2*0.6*10^-3)</f>
        <v>124896.74919993264</v>
      </c>
      <c r="F130">
        <f t="shared" si="0"/>
        <v>245026.10746168098</v>
      </c>
      <c r="I130" s="42">
        <f>(-G125*G$1*G$4)/(G$3*G$2*0.6*10^-3)</f>
        <v>16.156765873015878</v>
      </c>
      <c r="J130" s="42">
        <f>(-H125*H$1*H$4)/(H$3*H$2*0.6*10^-3)</f>
        <v>21.16340277777778</v>
      </c>
      <c r="K130" s="45">
        <f t="shared" si="1"/>
        <v>19.8735</v>
      </c>
      <c r="L130" s="45">
        <f t="shared" si="1"/>
        <v>9.6752000000000002</v>
      </c>
      <c r="M130" s="42">
        <f t="shared" si="2"/>
        <v>1104.0833333333333</v>
      </c>
      <c r="N130" s="42">
        <f t="shared" si="2"/>
        <v>1075.0222222222221</v>
      </c>
      <c r="O130" s="45">
        <f t="shared" ref="O130:P130" si="25">AVERAGE(O17:O18)</f>
        <v>-2.3099999999999999E-2</v>
      </c>
      <c r="P130" s="45">
        <f t="shared" si="25"/>
        <v>-4.1309999999999999E-2</v>
      </c>
      <c r="Q130" s="42">
        <f t="shared" si="4"/>
        <v>6.4991961414790994E-2</v>
      </c>
      <c r="R130" s="42">
        <f t="shared" si="4"/>
        <v>0.22138263665594857</v>
      </c>
      <c r="S130" s="45">
        <f t="shared" ref="S130:T130" si="26">AVERAGE(S17:S18)</f>
        <v>8.5308500000000009</v>
      </c>
      <c r="T130" s="45">
        <f t="shared" si="26"/>
        <v>6.4361499999999996</v>
      </c>
      <c r="U130" s="42">
        <f t="shared" si="6"/>
        <v>0.4421013438216978</v>
      </c>
      <c r="V130" s="42">
        <f t="shared" si="6"/>
        <v>0.52998125204850877</v>
      </c>
      <c r="W130" s="42">
        <f t="shared" si="7"/>
        <v>-8.7257142857142839E-2</v>
      </c>
      <c r="X130" s="42">
        <f t="shared" si="7"/>
        <v>-1.1357142857142843E-2</v>
      </c>
      <c r="Y130" s="42">
        <f t="shared" si="8"/>
        <v>0.17145919461031997</v>
      </c>
      <c r="Z130" s="42">
        <f t="shared" si="8"/>
        <v>2.2316643699280325E-2</v>
      </c>
      <c r="AA130" s="43"/>
      <c r="AB130" s="43"/>
      <c r="AC130" s="43"/>
      <c r="AD130" s="43"/>
      <c r="AE130">
        <v>0.155</v>
      </c>
    </row>
    <row r="131" spans="2:31" x14ac:dyDescent="0.35">
      <c r="B131">
        <v>12</v>
      </c>
      <c r="C131" s="45">
        <f>AVERAGE(C29:C30)</f>
        <v>-14.672499999999999</v>
      </c>
      <c r="D131" s="45">
        <f>AVERAGE(D29:D30)</f>
        <v>-18.045999999999999</v>
      </c>
      <c r="E131" t="e">
        <f>(-#REF!*C$1*C$4)/(C$3*C$2*0.6*10^-3)</f>
        <v>#REF!</v>
      </c>
      <c r="F131">
        <f t="shared" si="0"/>
        <v>243166.58244904835</v>
      </c>
      <c r="G131" s="45"/>
      <c r="H131" s="45"/>
      <c r="I131" s="42" t="e">
        <f>(-#REF!*G$1*G$4)/(G$3*G$2*0.6*10^-3)</f>
        <v>#REF!</v>
      </c>
      <c r="J131" s="42" t="e">
        <f>(-#REF!*H$1*H$4)/(H$3*H$2*0.6*10^-3)</f>
        <v>#REF!</v>
      </c>
      <c r="K131" s="45">
        <f t="shared" si="1"/>
        <v>20.8415</v>
      </c>
      <c r="L131" s="45">
        <f t="shared" si="1"/>
        <v>8.5867000000000004</v>
      </c>
      <c r="M131" s="42">
        <f t="shared" si="2"/>
        <v>1157.8611111111111</v>
      </c>
      <c r="N131" s="42">
        <f t="shared" si="2"/>
        <v>954.07777777777778</v>
      </c>
      <c r="O131" s="45">
        <f t="shared" ref="O131:P131" si="27">AVERAGE(O18:O19)</f>
        <v>-2.511E-2</v>
      </c>
      <c r="P131" s="45">
        <f t="shared" si="27"/>
        <v>-2.2964999999999999E-2</v>
      </c>
      <c r="Q131" s="42">
        <f t="shared" si="4"/>
        <v>7.0647106109324759E-2</v>
      </c>
      <c r="R131" s="42">
        <f t="shared" si="4"/>
        <v>0.12307073954983923</v>
      </c>
      <c r="S131" s="45">
        <f t="shared" ref="S131:T131" si="28">AVERAGE(S18:S19)</f>
        <v>8.3613999999999997</v>
      </c>
      <c r="T131" s="45">
        <f t="shared" si="28"/>
        <v>6.2130000000000001</v>
      </c>
      <c r="U131" s="42">
        <f t="shared" si="6"/>
        <v>0.44921035725991482</v>
      </c>
      <c r="V131" s="42">
        <f t="shared" si="6"/>
        <v>0.53934316617502454</v>
      </c>
      <c r="W131" s="42">
        <f t="shared" si="7"/>
        <v>-3.2571428571428335E-3</v>
      </c>
      <c r="X131" s="42">
        <f t="shared" si="7"/>
        <v>1.5762857142857162E-2</v>
      </c>
      <c r="Y131" s="42">
        <f t="shared" si="8"/>
        <v>6.4002449854539409E-3</v>
      </c>
      <c r="Z131" s="42">
        <f t="shared" si="8"/>
        <v>-3.0973817179604995E-2</v>
      </c>
      <c r="AA131" s="43"/>
      <c r="AB131" s="43"/>
      <c r="AC131" s="43"/>
      <c r="AD131" s="43"/>
      <c r="AE131">
        <v>0.13300000000000001</v>
      </c>
    </row>
    <row r="132" spans="2:31" x14ac:dyDescent="0.35">
      <c r="B132">
        <v>13</v>
      </c>
      <c r="C132" s="45">
        <f>AVERAGE(C31:C32)</f>
        <v>-14.979500000000002</v>
      </c>
      <c r="D132" s="45">
        <f>AVERAGE(D31:D32)</f>
        <v>-17.376000000000001</v>
      </c>
      <c r="E132">
        <f>(-C126*C$1*C$4)/(C$3*C$2*0.6*10^-3)</f>
        <v>104398.18089944418</v>
      </c>
      <c r="F132">
        <f t="shared" si="0"/>
        <v>234138.4537645276</v>
      </c>
      <c r="G132" s="45">
        <f>AVERAGE(G27:G28)-$G$114</f>
        <v>-12.244750000000003</v>
      </c>
      <c r="H132" s="45">
        <f>AVERAGE(H27:H28)-$H$114</f>
        <v>-12.523250000000001</v>
      </c>
      <c r="I132" s="42">
        <f>(-G126*G$1*G$4)/(G$3*G$2*0.6*10^-3)</f>
        <v>26.971329365079367</v>
      </c>
      <c r="J132" s="42">
        <f>(-H126*H$1*H$4)/(H$3*H$2*0.6*10^-3)</f>
        <v>22.758660714285714</v>
      </c>
      <c r="K132" s="45">
        <f t="shared" si="1"/>
        <v>21.551000000000002</v>
      </c>
      <c r="L132" s="45">
        <f t="shared" si="1"/>
        <v>9.0300499999999992</v>
      </c>
      <c r="M132" s="42">
        <f t="shared" si="2"/>
        <v>1197.2777777777781</v>
      </c>
      <c r="N132" s="42">
        <f t="shared" si="2"/>
        <v>1003.3388888888887</v>
      </c>
      <c r="O132" s="45">
        <f t="shared" ref="O132:P132" si="29">AVERAGE(O19:O20)</f>
        <v>-2.6605E-2</v>
      </c>
      <c r="P132" s="45">
        <f t="shared" si="29"/>
        <v>-2.5454999999999998E-2</v>
      </c>
      <c r="Q132" s="42">
        <f t="shared" si="4"/>
        <v>7.4853295819935689E-2</v>
      </c>
      <c r="R132" s="42">
        <f t="shared" si="4"/>
        <v>0.13641479099678455</v>
      </c>
      <c r="S132" s="45">
        <f t="shared" ref="S132:T132" si="30">AVERAGE(S19:S20)</f>
        <v>8.0462500000000006</v>
      </c>
      <c r="T132" s="45">
        <f t="shared" si="30"/>
        <v>6.8901000000000003</v>
      </c>
      <c r="U132" s="42">
        <f t="shared" si="6"/>
        <v>0.46243198951163555</v>
      </c>
      <c r="V132" s="42">
        <f t="shared" si="6"/>
        <v>0.51093647984267454</v>
      </c>
      <c r="W132" s="42">
        <f t="shared" si="7"/>
        <v>-0.24765714285714283</v>
      </c>
      <c r="X132" s="42">
        <f t="shared" si="7"/>
        <v>-1.7557142857142841E-2</v>
      </c>
      <c r="Y132" s="42">
        <f t="shared" si="8"/>
        <v>0.48664318889399266</v>
      </c>
      <c r="Z132" s="42">
        <f t="shared" si="8"/>
        <v>3.4499566171591861E-2</v>
      </c>
      <c r="AA132" s="43"/>
      <c r="AB132" s="43"/>
      <c r="AC132" s="43"/>
      <c r="AD132" s="43"/>
      <c r="AE132">
        <v>0.18</v>
      </c>
    </row>
    <row r="133" spans="2:31" x14ac:dyDescent="0.35">
      <c r="B133">
        <v>14</v>
      </c>
      <c r="C133" s="45">
        <f>AVERAGE(C33:C34)</f>
        <v>-9.6249000000000002</v>
      </c>
      <c r="D133" s="45">
        <f>AVERAGE(D33:D34)</f>
        <v>-18.321999999999999</v>
      </c>
      <c r="E133" t="e">
        <f>(-#REF!*C$1*C$4)/(C$3*C$2*0.6*10^-3)</f>
        <v>#REF!</v>
      </c>
      <c r="F133">
        <f t="shared" si="0"/>
        <v>246885.63247431364</v>
      </c>
      <c r="G133" s="45"/>
      <c r="H133" s="45"/>
      <c r="I133" s="42" t="e">
        <f>(-#REF!*G$1*G$4)/(G$3*G$2*0.6*10^-3)</f>
        <v>#REF!</v>
      </c>
      <c r="J133" s="42" t="e">
        <f>(-#REF!*H$1*H$4)/(H$3*H$2*0.6*10^-3)</f>
        <v>#REF!</v>
      </c>
      <c r="K133" s="45">
        <f t="shared" si="1"/>
        <v>19.795499999999997</v>
      </c>
      <c r="L133" s="45">
        <f t="shared" si="1"/>
        <v>6.2316000000000003</v>
      </c>
      <c r="M133" s="42">
        <f t="shared" si="2"/>
        <v>1099.7499999999998</v>
      </c>
      <c r="N133" s="42">
        <f t="shared" si="2"/>
        <v>692.40000000000009</v>
      </c>
      <c r="O133" s="45">
        <f t="shared" ref="O133:P133" si="31">AVERAGE(O20:O21)</f>
        <v>-3.1015000000000001E-2</v>
      </c>
      <c r="P133" s="45">
        <f t="shared" si="31"/>
        <v>-3.4000000000000002E-2</v>
      </c>
      <c r="Q133" s="42">
        <f t="shared" si="4"/>
        <v>8.7260852090032162E-2</v>
      </c>
      <c r="R133" s="42">
        <f t="shared" si="4"/>
        <v>0.1822079314040729</v>
      </c>
      <c r="S133" s="45">
        <f t="shared" ref="S133:T133" si="32">AVERAGE(S20:S21)</f>
        <v>7.9897500000000008</v>
      </c>
      <c r="T133" s="45">
        <f t="shared" si="32"/>
        <v>6.8444500000000001</v>
      </c>
      <c r="U133" s="42">
        <f t="shared" si="6"/>
        <v>0.46480235988200591</v>
      </c>
      <c r="V133" s="42">
        <f t="shared" si="6"/>
        <v>0.51285165519501807</v>
      </c>
      <c r="W133" s="42">
        <f t="shared" si="7"/>
        <v>-3.5557142857142843E-2</v>
      </c>
      <c r="X133" s="42">
        <f t="shared" si="7"/>
        <v>-3.3157142857142843E-2</v>
      </c>
      <c r="Y133" s="42">
        <f t="shared" si="8"/>
        <v>6.9869341091206016E-2</v>
      </c>
      <c r="Z133" s="42">
        <f t="shared" si="8"/>
        <v>6.5153371101924124E-2</v>
      </c>
      <c r="AA133" s="43"/>
      <c r="AB133" s="43"/>
      <c r="AC133" s="43"/>
      <c r="AD133" s="43"/>
      <c r="AE133">
        <v>0.11799999999999999</v>
      </c>
    </row>
    <row r="134" spans="2:31" x14ac:dyDescent="0.35">
      <c r="B134">
        <v>15</v>
      </c>
      <c r="C134" s="45">
        <f>AVERAGE(C35:C36)</f>
        <v>-13.1775</v>
      </c>
      <c r="D134" s="45">
        <f>AVERAGE(D35:D36)</f>
        <v>-18.927999999999997</v>
      </c>
      <c r="E134">
        <f>(-C127*C$1*C$4)/(C$3*C$2*0.6*10^-3)</f>
        <v>182812.86845208021</v>
      </c>
      <c r="F134">
        <f t="shared" si="0"/>
        <v>255051.37274717871</v>
      </c>
      <c r="I134" s="42">
        <f>(-G127*G$1*G$4)/(G$3*G$2*0.6*10^-3)</f>
        <v>47.965932539682534</v>
      </c>
      <c r="J134" s="42">
        <f>(-H127*H$1*H$4)/(H$3*H$2*0.6*10^-3)</f>
        <v>16.324751984126987</v>
      </c>
      <c r="K134" s="45">
        <f t="shared" si="1"/>
        <v>19.291499999999999</v>
      </c>
      <c r="L134" s="45">
        <f t="shared" si="1"/>
        <v>4.5006000000000004</v>
      </c>
      <c r="M134" s="42">
        <f t="shared" si="2"/>
        <v>1071.75</v>
      </c>
      <c r="N134" s="42">
        <f t="shared" si="2"/>
        <v>500.06666666666672</v>
      </c>
      <c r="O134" s="45">
        <f t="shared" ref="O134:P134" si="33">AVERAGE(O21:O22)</f>
        <v>-3.6670000000000001E-2</v>
      </c>
      <c r="P134" s="45">
        <f t="shared" si="33"/>
        <v>-4.1800000000000004E-2</v>
      </c>
      <c r="Q134" s="42">
        <f t="shared" si="4"/>
        <v>0.10317122186495177</v>
      </c>
      <c r="R134" s="42">
        <f t="shared" si="4"/>
        <v>0.22400857449088962</v>
      </c>
      <c r="S134" s="45">
        <f t="shared" ref="S134:T134" si="34">AVERAGE(S21:S22)</f>
        <v>8.1576000000000004</v>
      </c>
      <c r="T134" s="45">
        <f t="shared" si="34"/>
        <v>8.5624000000000002</v>
      </c>
      <c r="U134" s="42">
        <f t="shared" si="6"/>
        <v>0.45776047197640124</v>
      </c>
      <c r="V134" s="42">
        <f t="shared" si="6"/>
        <v>0.44077771222549988</v>
      </c>
      <c r="W134" s="42">
        <f t="shared" si="7"/>
        <v>4.2728571428571616E-3</v>
      </c>
      <c r="X134" s="42">
        <f t="shared" si="7"/>
        <v>-4.8257142857142832E-2</v>
      </c>
      <c r="Y134" s="42">
        <f t="shared" si="8"/>
        <v>-8.3961108559179667E-3</v>
      </c>
      <c r="Z134" s="42">
        <f t="shared" si="8"/>
        <v>9.4824682284489301E-2</v>
      </c>
      <c r="AA134" s="43"/>
      <c r="AB134" s="43"/>
      <c r="AC134" s="43"/>
      <c r="AD134" s="43"/>
      <c r="AE134">
        <v>0.17399999999999999</v>
      </c>
    </row>
    <row r="135" spans="2:31" x14ac:dyDescent="0.35">
      <c r="B135">
        <v>16</v>
      </c>
      <c r="C135" s="45">
        <f>AVERAGE(C37:C38)</f>
        <v>-4.8658000000000001</v>
      </c>
      <c r="D135" s="45">
        <f>AVERAGE(D37:D38)</f>
        <v>-17.875500000000002</v>
      </c>
      <c r="E135" t="e">
        <f>(-#REF!*C$1*C$4)/(C$3*C$2*0.6*10^-3)</f>
        <v>#REF!</v>
      </c>
      <c r="F135">
        <f t="shared" si="0"/>
        <v>240869.12582112182</v>
      </c>
      <c r="G135" s="45">
        <f>AVERAGE(G29:G30)-$G$114</f>
        <v>-9.0247500000000009</v>
      </c>
      <c r="H135" s="45">
        <f>AVERAGE(H29:H30)-$H$114</f>
        <v>-14.890750000000004</v>
      </c>
      <c r="I135" s="42" t="e">
        <f>(-#REF!*G$1*G$4)/(G$3*G$2*0.6*10^-3)</f>
        <v>#REF!</v>
      </c>
      <c r="J135" s="42" t="e">
        <f>(-#REF!*H$1*H$4)/(H$3*H$2*0.6*10^-3)</f>
        <v>#REF!</v>
      </c>
      <c r="K135" s="45">
        <f t="shared" si="1"/>
        <v>18.61</v>
      </c>
      <c r="L135" s="45">
        <f t="shared" si="1"/>
        <v>10.143050000000001</v>
      </c>
      <c r="M135" s="42">
        <f t="shared" si="2"/>
        <v>1033.8888888888889</v>
      </c>
      <c r="N135" s="42">
        <f t="shared" si="2"/>
        <v>1127.0055555555557</v>
      </c>
      <c r="O135" s="45">
        <f t="shared" ref="O135:P135" si="35">AVERAGE(O22:O23)</f>
        <v>-3.4599999999999999E-2</v>
      </c>
      <c r="P135" s="45">
        <f t="shared" si="35"/>
        <v>-3.4280000000000005E-2</v>
      </c>
      <c r="Q135" s="42">
        <f t="shared" si="4"/>
        <v>9.7347266881028932E-2</v>
      </c>
      <c r="R135" s="42">
        <f t="shared" si="4"/>
        <v>0.18370846730975351</v>
      </c>
      <c r="S135" s="45">
        <f t="shared" ref="S135:T135" si="36">AVERAGE(S22:S23)</f>
        <v>8.5229999999999997</v>
      </c>
      <c r="T135" s="45">
        <f t="shared" si="36"/>
        <v>9.3989499999999992</v>
      </c>
      <c r="U135" s="42">
        <f t="shared" si="6"/>
        <v>0.44243067846607675</v>
      </c>
      <c r="V135" s="42">
        <f t="shared" si="6"/>
        <v>0.40568154703375953</v>
      </c>
      <c r="W135" s="42">
        <f t="shared" si="7"/>
        <v>-2.045714285714284E-2</v>
      </c>
      <c r="X135" s="42">
        <f t="shared" si="7"/>
        <v>-2.1757142857142836E-2</v>
      </c>
      <c r="Y135" s="42">
        <f t="shared" si="8"/>
        <v>4.0198029908640805E-2</v>
      </c>
      <c r="Z135" s="42">
        <f t="shared" si="8"/>
        <v>4.2752513652835153E-2</v>
      </c>
      <c r="AA135" s="43"/>
      <c r="AB135" s="43"/>
      <c r="AC135" s="43"/>
      <c r="AD135" s="43"/>
      <c r="AE135">
        <v>0.23</v>
      </c>
    </row>
    <row r="136" spans="2:31" x14ac:dyDescent="0.35">
      <c r="B136">
        <v>17</v>
      </c>
      <c r="C136" s="45">
        <f>AVERAGE(C39:C40)</f>
        <v>-13.172000000000001</v>
      </c>
      <c r="D136" s="45">
        <f>AVERAGE(D39:D40)</f>
        <v>-18.926500000000001</v>
      </c>
      <c r="E136">
        <f>(-C128*C$1*C$4)/(C$3*C$2*0.6*10^-3)</f>
        <v>102234.12497894561</v>
      </c>
      <c r="F136">
        <f t="shared" si="0"/>
        <v>255031.16051878058</v>
      </c>
      <c r="G136" s="45"/>
      <c r="H136" s="45"/>
      <c r="I136" s="42">
        <f>(-G128*G$1*G$4)/(G$3*G$2*0.6*10^-3)</f>
        <v>30.106527777777778</v>
      </c>
      <c r="J136" s="42">
        <f>(-H128*H$1*H$4)/(H$3*H$2*0.6*10^-3)</f>
        <v>14.443144841269847</v>
      </c>
      <c r="K136" s="45">
        <f t="shared" si="1"/>
        <v>15.643000000000001</v>
      </c>
      <c r="L136" s="45">
        <f t="shared" si="1"/>
        <v>14.196999999999999</v>
      </c>
      <c r="M136" s="42">
        <f t="shared" si="2"/>
        <v>869.05555555555566</v>
      </c>
      <c r="N136" s="42">
        <f t="shared" si="2"/>
        <v>1577.4444444444441</v>
      </c>
      <c r="O136" s="45">
        <f t="shared" ref="O136:P136" si="37">AVERAGE(O23:O24)</f>
        <v>-2.9059999999999999E-2</v>
      </c>
      <c r="P136" s="45">
        <f t="shared" si="37"/>
        <v>-1.924E-2</v>
      </c>
      <c r="Q136" s="42">
        <f t="shared" si="4"/>
        <v>8.17604501607717E-2</v>
      </c>
      <c r="R136" s="42">
        <f t="shared" si="4"/>
        <v>0.10310825294748124</v>
      </c>
      <c r="S136" s="45">
        <f t="shared" ref="S136:T136" si="38">AVERAGE(S23:S24)</f>
        <v>8.1356999999999999</v>
      </c>
      <c r="T136" s="45">
        <f t="shared" si="38"/>
        <v>7.5874000000000006</v>
      </c>
      <c r="U136" s="42">
        <f t="shared" si="6"/>
        <v>0.45867925270403154</v>
      </c>
      <c r="V136" s="42">
        <f t="shared" si="6"/>
        <v>0.48168233366109475</v>
      </c>
      <c r="W136" s="42">
        <f t="shared" si="7"/>
        <v>-0.10085714285714284</v>
      </c>
      <c r="X136" s="42">
        <f t="shared" si="7"/>
        <v>-4.5557142857142824E-2</v>
      </c>
      <c r="Y136" s="42">
        <f t="shared" si="8"/>
        <v>0.198183024549584</v>
      </c>
      <c r="Z136" s="42">
        <f t="shared" si="8"/>
        <v>8.9519216046547168E-2</v>
      </c>
      <c r="AA136" s="43"/>
      <c r="AB136" s="43"/>
      <c r="AC136" s="43"/>
      <c r="AD136" s="43"/>
      <c r="AE136">
        <v>0.20799999999999999</v>
      </c>
    </row>
    <row r="137" spans="2:31" x14ac:dyDescent="0.35">
      <c r="B137">
        <v>18</v>
      </c>
      <c r="C137" s="45">
        <f>AVERAGE(C41:C42)</f>
        <v>-15.237500000000001</v>
      </c>
      <c r="D137" s="45">
        <f>AVERAGE(D41:D42)</f>
        <v>-18.576000000000001</v>
      </c>
      <c r="E137" t="e">
        <f>(-#REF!*C$1*C$4)/(C$3*C$2*0.6*10^-3)</f>
        <v>#REF!</v>
      </c>
      <c r="F137">
        <f t="shared" si="0"/>
        <v>250308.23648307231</v>
      </c>
      <c r="G137" s="45">
        <f>AVERAGE(G31:G32)-$G$114</f>
        <v>-9.0697499999999991</v>
      </c>
      <c r="H137" s="45">
        <f>AVERAGE(H31:H32)-$H$114</f>
        <v>-14.091250000000002</v>
      </c>
      <c r="I137" s="42" t="e">
        <f>(-#REF!*G$1*G$4)/(G$3*G$2*0.6*10^-3)</f>
        <v>#REF!</v>
      </c>
      <c r="J137" s="42" t="e">
        <f>(-#REF!*H$1*H$4)/(H$3*H$2*0.6*10^-3)</f>
        <v>#REF!</v>
      </c>
      <c r="K137" s="45">
        <f t="shared" si="1"/>
        <v>12.4665</v>
      </c>
      <c r="L137" s="45">
        <f t="shared" si="1"/>
        <v>14.544499999999999</v>
      </c>
      <c r="M137" s="42">
        <f t="shared" si="2"/>
        <v>692.58333333333337</v>
      </c>
      <c r="N137" s="42">
        <f t="shared" si="2"/>
        <v>1616.0555555555552</v>
      </c>
      <c r="O137" s="45">
        <f t="shared" ref="O137:P137" si="39">AVERAGE(O24:O25)</f>
        <v>-2.9825000000000001E-2</v>
      </c>
      <c r="P137" s="45">
        <f t="shared" si="39"/>
        <v>-1.7944999999999999E-2</v>
      </c>
      <c r="Q137" s="42">
        <f t="shared" si="4"/>
        <v>8.3912781350482316E-2</v>
      </c>
      <c r="R137" s="42">
        <f t="shared" si="4"/>
        <v>9.6168274383708466E-2</v>
      </c>
      <c r="S137" s="45">
        <f t="shared" ref="S137:T137" si="40">AVERAGE(S24:S25)</f>
        <v>8.5541499999999999</v>
      </c>
      <c r="T137" s="45">
        <f t="shared" si="40"/>
        <v>7.9630500000000008</v>
      </c>
      <c r="U137" s="42">
        <f t="shared" si="6"/>
        <v>0.44112382825303187</v>
      </c>
      <c r="V137" s="42">
        <f t="shared" si="6"/>
        <v>0.46592251720747302</v>
      </c>
      <c r="W137" s="42">
        <f t="shared" si="7"/>
        <v>-3.3957142857142839E-2</v>
      </c>
      <c r="X137" s="42">
        <f t="shared" si="7"/>
        <v>2.972857142857166E-3</v>
      </c>
      <c r="Y137" s="42">
        <f t="shared" si="8"/>
        <v>6.6725361098351407E-2</v>
      </c>
      <c r="Z137" s="42">
        <f t="shared" si="8"/>
        <v>-5.8416271117236193E-3</v>
      </c>
      <c r="AA137" s="43"/>
      <c r="AB137" s="43"/>
      <c r="AC137" s="43"/>
      <c r="AD137" s="43"/>
      <c r="AE137">
        <v>0.16800000000000001</v>
      </c>
    </row>
    <row r="138" spans="2:31" x14ac:dyDescent="0.35">
      <c r="B138">
        <v>19</v>
      </c>
      <c r="C138" s="45">
        <f>AVERAGE(C43:C44)</f>
        <v>-15.652999999999999</v>
      </c>
      <c r="D138" s="45">
        <f>AVERAGE(D43:D44)</f>
        <v>-18.262499999999999</v>
      </c>
      <c r="E138">
        <f>(-C129*C$1*C$4)/(C$3*C$2*0.6*10^-3)</f>
        <v>85063.163213744323</v>
      </c>
      <c r="F138">
        <f t="shared" si="0"/>
        <v>246083.88074785247</v>
      </c>
      <c r="G138" s="45"/>
      <c r="H138" s="45"/>
      <c r="I138" s="42">
        <f>(-G129*G$1*G$4)/(G$3*G$2*0.6*10^-3)</f>
        <v>23.852400793650791</v>
      </c>
      <c r="J138" s="42">
        <f>(-H129*H$1*H$4)/(H$3*H$2*0.6*10^-3)</f>
        <v>16.896636904761902</v>
      </c>
      <c r="K138" s="45">
        <f t="shared" si="1"/>
        <v>10.818999999999999</v>
      </c>
      <c r="L138" s="45">
        <f t="shared" si="1"/>
        <v>14.2315</v>
      </c>
      <c r="M138" s="42">
        <f t="shared" si="2"/>
        <v>601.05555555555543</v>
      </c>
      <c r="N138" s="42">
        <f t="shared" si="2"/>
        <v>1581.2777777777778</v>
      </c>
      <c r="O138" s="45">
        <f t="shared" ref="O138:P138" si="41">AVERAGE(O25:O26)</f>
        <v>-3.5765000000000005E-2</v>
      </c>
      <c r="P138" s="45">
        <f t="shared" si="41"/>
        <v>-1.422E-2</v>
      </c>
      <c r="Q138" s="42">
        <f t="shared" si="4"/>
        <v>0.10062500000000001</v>
      </c>
      <c r="R138" s="42">
        <f t="shared" si="4"/>
        <v>7.6205787781350481E-2</v>
      </c>
      <c r="S138" s="45">
        <f t="shared" ref="S138:T138" si="42">AVERAGE(S25:S26)</f>
        <v>8.8402499999999993</v>
      </c>
      <c r="T138" s="45">
        <f t="shared" si="42"/>
        <v>9.4665999999999997</v>
      </c>
      <c r="U138" s="42">
        <f t="shared" si="6"/>
        <v>0.42912094395280242</v>
      </c>
      <c r="V138" s="42">
        <f t="shared" si="6"/>
        <v>0.40284339560799742</v>
      </c>
      <c r="W138" s="42">
        <f t="shared" si="7"/>
        <v>-1.7157142857142843E-2</v>
      </c>
      <c r="X138" s="42">
        <f t="shared" si="7"/>
        <v>-1.7757142857142832E-2</v>
      </c>
      <c r="Y138" s="42">
        <f t="shared" si="8"/>
        <v>3.3713571173378219E-2</v>
      </c>
      <c r="Z138" s="42">
        <f t="shared" si="8"/>
        <v>3.4892563670698672E-2</v>
      </c>
      <c r="AA138" s="43"/>
      <c r="AB138" s="43"/>
      <c r="AC138" s="43"/>
      <c r="AD138" s="43"/>
      <c r="AE138">
        <v>0.251</v>
      </c>
    </row>
    <row r="139" spans="2:31" x14ac:dyDescent="0.35">
      <c r="B139">
        <v>20</v>
      </c>
      <c r="C139" s="45">
        <f>AVERAGE(C45:C46)</f>
        <v>-14.313500000000001</v>
      </c>
      <c r="D139" s="45">
        <f>AVERAGE(D45:D46)</f>
        <v>-17.660499999999999</v>
      </c>
      <c r="E139" t="e">
        <f>(-#REF!*C$1*C$4)/(C$3*C$2*0.6*10^-3)</f>
        <v>#REF!</v>
      </c>
      <c r="F139">
        <f t="shared" si="0"/>
        <v>237972.03975071586</v>
      </c>
      <c r="G139" s="45">
        <f>AVERAGE(G33:G34)-$G$114</f>
        <v>-5.6797499999999985</v>
      </c>
      <c r="H139" s="45">
        <f>AVERAGE(H33:H34)-$H$114</f>
        <v>-11.997750000000003</v>
      </c>
      <c r="I139" s="42">
        <f t="shared" ref="I139:J141" si="43">(-G131*G$1*G$4)/(G$3*G$2*0.6*10^-3)</f>
        <v>0</v>
      </c>
      <c r="J139" s="42">
        <f t="shared" si="43"/>
        <v>0</v>
      </c>
      <c r="K139" s="45">
        <f t="shared" si="1"/>
        <v>15.5595</v>
      </c>
      <c r="L139" s="45">
        <f t="shared" si="1"/>
        <v>18.852</v>
      </c>
      <c r="M139" s="42">
        <f t="shared" si="2"/>
        <v>864.41666666666663</v>
      </c>
      <c r="N139" s="42">
        <f t="shared" si="2"/>
        <v>2094.6666666666665</v>
      </c>
      <c r="O139" s="45">
        <f t="shared" ref="O139:P139" si="44">AVERAGE(O26:O27)</f>
        <v>-3.5409999999999997E-2</v>
      </c>
      <c r="P139" s="45">
        <f t="shared" si="44"/>
        <v>-1.687E-2</v>
      </c>
      <c r="Q139" s="42">
        <f t="shared" si="4"/>
        <v>9.9626205787781349E-2</v>
      </c>
      <c r="R139" s="42">
        <f t="shared" si="4"/>
        <v>9.0407288317256168E-2</v>
      </c>
      <c r="S139" s="45">
        <f t="shared" ref="S139:T139" si="45">AVERAGE(S26:S27)</f>
        <v>8.4344999999999999</v>
      </c>
      <c r="T139" s="45">
        <f t="shared" si="45"/>
        <v>8.3558500000000002</v>
      </c>
      <c r="U139" s="42">
        <f t="shared" si="6"/>
        <v>0.44614355948869228</v>
      </c>
      <c r="V139" s="42">
        <f t="shared" si="6"/>
        <v>0.44944319895116358</v>
      </c>
      <c r="W139" s="42">
        <f t="shared" si="7"/>
        <v>-4.0857142857142842E-2</v>
      </c>
      <c r="X139" s="42">
        <f t="shared" si="7"/>
        <v>-3.2657142857142843E-2</v>
      </c>
      <c r="Y139" s="42">
        <f t="shared" si="8"/>
        <v>8.0283774817536846E-2</v>
      </c>
      <c r="Z139" s="42">
        <f t="shared" si="8"/>
        <v>6.4170877354157066E-2</v>
      </c>
      <c r="AA139" s="43"/>
      <c r="AB139" s="43"/>
      <c r="AC139" s="43"/>
      <c r="AD139" s="43"/>
      <c r="AE139">
        <v>0.184</v>
      </c>
    </row>
    <row r="140" spans="2:31" x14ac:dyDescent="0.35">
      <c r="B140">
        <v>21</v>
      </c>
      <c r="C140" s="45">
        <f>AVERAGE(C47:C48)</f>
        <v>-16.133500000000002</v>
      </c>
      <c r="D140" s="45">
        <f>AVERAGE(D47:D48)</f>
        <v>-18.545000000000002</v>
      </c>
      <c r="E140">
        <f>(-C130*C$1*C$4)/(C$3*C$2*0.6*10^-3)</f>
        <v>179929.25720060637</v>
      </c>
      <c r="F140">
        <f t="shared" si="0"/>
        <v>249890.5170961766</v>
      </c>
      <c r="I140" s="42">
        <f t="shared" si="43"/>
        <v>39.844027777777789</v>
      </c>
      <c r="J140" s="42">
        <f t="shared" si="43"/>
        <v>20.375128968253968</v>
      </c>
      <c r="K140" s="45">
        <f t="shared" si="1"/>
        <v>19.932000000000002</v>
      </c>
      <c r="L140" s="45">
        <f t="shared" si="1"/>
        <v>21.353000000000002</v>
      </c>
      <c r="M140" s="42">
        <f t="shared" si="2"/>
        <v>1107.3333333333335</v>
      </c>
      <c r="N140" s="42">
        <f t="shared" si="2"/>
        <v>2372.5555555555557</v>
      </c>
      <c r="O140" s="45">
        <f t="shared" ref="O140:P140" si="46">AVERAGE(O27:O28)</f>
        <v>-0.03</v>
      </c>
      <c r="P140" s="45">
        <f t="shared" si="46"/>
        <v>-2.5835000000000004E-2</v>
      </c>
      <c r="Q140" s="42">
        <f t="shared" si="4"/>
        <v>8.4405144694533765E-2</v>
      </c>
      <c r="R140" s="42">
        <f t="shared" si="4"/>
        <v>0.13845123258306541</v>
      </c>
      <c r="S140" s="45">
        <f t="shared" ref="S140:T140" si="47">AVERAGE(S27:S28)</f>
        <v>8.546050000000001</v>
      </c>
      <c r="T140" s="45">
        <f t="shared" si="47"/>
        <v>6.8317999999999994</v>
      </c>
      <c r="U140" s="42">
        <f t="shared" si="6"/>
        <v>0.44146365126188131</v>
      </c>
      <c r="V140" s="42">
        <f t="shared" si="6"/>
        <v>0.51338236643723378</v>
      </c>
      <c r="W140" s="42">
        <f t="shared" si="7"/>
        <v>-1.1471428571428327E-3</v>
      </c>
      <c r="X140" s="42">
        <f t="shared" si="7"/>
        <v>-2.1557142857142844E-2</v>
      </c>
      <c r="Y140" s="42">
        <f t="shared" si="8"/>
        <v>2.2541213698769485E-3</v>
      </c>
      <c r="Z140" s="42">
        <f t="shared" si="8"/>
        <v>4.2359516153728342E-2</v>
      </c>
      <c r="AA140" s="43"/>
      <c r="AB140" s="43"/>
      <c r="AC140" s="43"/>
      <c r="AD140" s="43"/>
      <c r="AE140">
        <v>0.23200000000000001</v>
      </c>
    </row>
    <row r="141" spans="2:31" x14ac:dyDescent="0.35">
      <c r="B141">
        <v>22</v>
      </c>
      <c r="C141" s="45">
        <f>AVERAGE(C49:C50)</f>
        <v>-15.064</v>
      </c>
      <c r="D141" s="45">
        <f>AVERAGE(D49:D50)</f>
        <v>-24.622</v>
      </c>
      <c r="E141" t="e">
        <f>(-#REF!*C$1*C$4)/(C$3*C$2*0.6*10^-3)</f>
        <v>#REF!</v>
      </c>
      <c r="F141">
        <f t="shared" si="0"/>
        <v>331776.99174667342</v>
      </c>
      <c r="G141" s="45"/>
      <c r="H141" s="45"/>
      <c r="I141" s="42">
        <f t="shared" si="43"/>
        <v>0</v>
      </c>
      <c r="J141" s="42">
        <f t="shared" si="43"/>
        <v>0</v>
      </c>
      <c r="K141" s="45">
        <f t="shared" si="1"/>
        <v>17.862500000000001</v>
      </c>
      <c r="L141" s="45">
        <f t="shared" si="1"/>
        <v>13.590499999999999</v>
      </c>
      <c r="M141" s="42">
        <f t="shared" si="2"/>
        <v>992.36111111111109</v>
      </c>
      <c r="N141" s="42">
        <f t="shared" si="2"/>
        <v>1510.0555555555554</v>
      </c>
      <c r="O141" s="45">
        <f t="shared" ref="O141:P141" si="48">AVERAGE(O28:O29)</f>
        <v>-2.7234999999999999E-2</v>
      </c>
      <c r="P141" s="45">
        <f t="shared" si="48"/>
        <v>-2.8910000000000002E-2</v>
      </c>
      <c r="Q141" s="42">
        <f t="shared" si="4"/>
        <v>7.6625803858520899E-2</v>
      </c>
      <c r="R141" s="42">
        <f t="shared" si="4"/>
        <v>0.15493033226152197</v>
      </c>
      <c r="S141" s="45">
        <f t="shared" ref="S141:T141" si="49">AVERAGE(S28:S29)</f>
        <v>8.6746999999999996</v>
      </c>
      <c r="T141" s="45">
        <f t="shared" si="49"/>
        <v>6.8469999999999995</v>
      </c>
      <c r="U141" s="42">
        <f t="shared" si="6"/>
        <v>0.43606633890527702</v>
      </c>
      <c r="V141" s="42">
        <f t="shared" si="6"/>
        <v>0.51274467387741729</v>
      </c>
      <c r="W141" s="42">
        <f t="shared" si="7"/>
        <v>1.9952857142857161E-2</v>
      </c>
      <c r="X141" s="42">
        <f t="shared" si="7"/>
        <v>-3.5557142857142843E-2</v>
      </c>
      <c r="Y141" s="42">
        <f t="shared" si="8"/>
        <v>-3.9207114785892956E-2</v>
      </c>
      <c r="Z141" s="42">
        <f t="shared" si="8"/>
        <v>6.9869341091206016E-2</v>
      </c>
      <c r="AA141" s="43"/>
      <c r="AB141" s="43"/>
      <c r="AC141" s="43"/>
      <c r="AD141" s="43"/>
      <c r="AE141">
        <v>0.13300000000000001</v>
      </c>
    </row>
    <row r="142" spans="2:31" x14ac:dyDescent="0.35">
      <c r="B142">
        <v>23</v>
      </c>
      <c r="C142" s="45">
        <f>AVERAGE(C51:C52)</f>
        <v>-14.617000000000001</v>
      </c>
      <c r="D142" s="45">
        <f>AVERAGE(D51:D52)</f>
        <v>-17.456499999999998</v>
      </c>
      <c r="E142">
        <f>(-C131*C$1*C$4)/(C$3*C$2*0.6*10^-3)</f>
        <v>197709.28078153954</v>
      </c>
      <c r="F142">
        <f t="shared" si="0"/>
        <v>235223.17668856325</v>
      </c>
      <c r="I142" s="42">
        <f t="shared" ref="I142:J146" si="50">(-G135*G$1*G$4)/(G$3*G$2*0.6*10^-3)</f>
        <v>29.366250000000004</v>
      </c>
      <c r="J142" s="42">
        <f t="shared" si="50"/>
        <v>24.227013888888894</v>
      </c>
      <c r="K142" s="45">
        <f t="shared" si="1"/>
        <v>16.1005</v>
      </c>
      <c r="L142" s="45">
        <f t="shared" si="1"/>
        <v>8.8832500000000003</v>
      </c>
      <c r="M142" s="42">
        <f t="shared" si="2"/>
        <v>894.47222222222217</v>
      </c>
      <c r="N142" s="42">
        <f t="shared" si="2"/>
        <v>987.02777777777783</v>
      </c>
      <c r="O142" s="45">
        <f t="shared" ref="O142:P142" si="51">AVERAGE(O29:O30)</f>
        <v>-2.9929999999999998E-2</v>
      </c>
      <c r="P142" s="45">
        <f t="shared" si="51"/>
        <v>-2.6529999999999998E-2</v>
      </c>
      <c r="Q142" s="42">
        <f t="shared" si="4"/>
        <v>8.4208199356913177E-2</v>
      </c>
      <c r="R142" s="42">
        <f t="shared" si="4"/>
        <v>0.14217577706323684</v>
      </c>
      <c r="S142" s="45">
        <f t="shared" ref="S142:T142" si="52">AVERAGE(S29:S30)</f>
        <v>9.1403999999999996</v>
      </c>
      <c r="T142" s="45">
        <f t="shared" si="52"/>
        <v>6.82395</v>
      </c>
      <c r="U142" s="42">
        <f t="shared" si="6"/>
        <v>0.41652861356932158</v>
      </c>
      <c r="V142" s="42">
        <f t="shared" si="6"/>
        <v>0.51371170108161257</v>
      </c>
      <c r="W142" s="42">
        <f t="shared" si="7"/>
        <v>-3.9657142857142835E-2</v>
      </c>
      <c r="X142" s="42">
        <f t="shared" si="7"/>
        <v>-2.2257142857142836E-2</v>
      </c>
      <c r="Y142" s="42">
        <f t="shared" si="8"/>
        <v>7.7925789822895872E-2</v>
      </c>
      <c r="Z142" s="42">
        <f t="shared" si="8"/>
        <v>4.3735007400602217E-2</v>
      </c>
      <c r="AA142" s="43"/>
      <c r="AB142" s="43"/>
      <c r="AC142" s="43"/>
      <c r="AD142" s="43"/>
      <c r="AE142">
        <v>0.22700000000000001</v>
      </c>
    </row>
    <row r="143" spans="2:31" x14ac:dyDescent="0.35">
      <c r="B143">
        <v>24</v>
      </c>
      <c r="C143" s="45">
        <f>AVERAGE(C53:C54)</f>
        <v>-15.3645</v>
      </c>
      <c r="D143" s="45">
        <f>AVERAGE(D53:D54)</f>
        <v>-16.161999999999999</v>
      </c>
      <c r="E143" t="e">
        <f>(-#REF!*C$1*C$4)/(C$3*C$2*0.6*10^-3)</f>
        <v>#REF!</v>
      </c>
      <c r="F143">
        <f t="shared" si="0"/>
        <v>217780.02358093314</v>
      </c>
      <c r="G143" s="45">
        <f>AVERAGE(G35:G36)-$G$114</f>
        <v>-7.5127500000000005</v>
      </c>
      <c r="H143" s="45">
        <f>AVERAGE(H35:H36)-$H$114</f>
        <v>-16.437249999999999</v>
      </c>
      <c r="I143" s="42">
        <f t="shared" si="50"/>
        <v>0</v>
      </c>
      <c r="J143" s="42">
        <f t="shared" si="50"/>
        <v>0</v>
      </c>
      <c r="K143" s="45">
        <f t="shared" si="1"/>
        <v>17.451500000000003</v>
      </c>
      <c r="L143" s="45">
        <f t="shared" si="1"/>
        <v>14.433250000000001</v>
      </c>
      <c r="M143" s="42">
        <f t="shared" si="2"/>
        <v>969.52777777777794</v>
      </c>
      <c r="N143" s="42">
        <f t="shared" si="2"/>
        <v>1603.6944444444443</v>
      </c>
      <c r="O143" s="45">
        <f t="shared" ref="O143:P143" si="53">AVERAGE(O30:O31)</f>
        <v>-3.0214999999999999E-2</v>
      </c>
      <c r="P143" s="45">
        <f t="shared" si="53"/>
        <v>-3.7990000000000003E-2</v>
      </c>
      <c r="Q143" s="42">
        <f t="shared" si="4"/>
        <v>8.5010048231511245E-2</v>
      </c>
      <c r="R143" s="42">
        <f t="shared" si="4"/>
        <v>0.20359056806002146</v>
      </c>
      <c r="S143" s="45">
        <f t="shared" ref="S143:T143" si="54">AVERAGE(S30:S31)</f>
        <v>9.1339499999999987</v>
      </c>
      <c r="T143" s="45">
        <f t="shared" si="54"/>
        <v>7.1130499999999994</v>
      </c>
      <c r="U143" s="42">
        <f t="shared" si="6"/>
        <v>0.41679921337266479</v>
      </c>
      <c r="V143" s="42">
        <f t="shared" si="6"/>
        <v>0.5015829564077352</v>
      </c>
      <c r="W143" s="42">
        <f t="shared" si="7"/>
        <v>-1.5157142857142841E-2</v>
      </c>
      <c r="X143" s="42">
        <f t="shared" si="7"/>
        <v>-9.0957142857142848E-2</v>
      </c>
      <c r="Y143" s="42">
        <f t="shared" si="8"/>
        <v>2.9783596182309975E-2</v>
      </c>
      <c r="Z143" s="42">
        <f t="shared" si="8"/>
        <v>0.17872964834379623</v>
      </c>
      <c r="AA143" s="43"/>
      <c r="AB143" s="43"/>
      <c r="AC143" s="43"/>
      <c r="AD143" s="43"/>
      <c r="AE143">
        <v>0.246</v>
      </c>
    </row>
    <row r="144" spans="2:31" x14ac:dyDescent="0.35">
      <c r="B144">
        <v>25</v>
      </c>
      <c r="C144" s="45">
        <f>AVERAGE(C55:C56)</f>
        <v>-8.5684500000000003</v>
      </c>
      <c r="D144" s="45">
        <f>AVERAGE(D55:D56)</f>
        <v>-14.509</v>
      </c>
      <c r="E144">
        <f>(-C132*C$1*C$4)/(C$3*C$2*0.6*10^-3)</f>
        <v>201846.05019370059</v>
      </c>
      <c r="F144">
        <f t="shared" si="0"/>
        <v>195506.14788613783</v>
      </c>
      <c r="G144" s="45"/>
      <c r="H144" s="45"/>
      <c r="I144" s="42">
        <f t="shared" si="50"/>
        <v>29.51267857142857</v>
      </c>
      <c r="J144" s="42">
        <f t="shared" si="50"/>
        <v>22.926240079365083</v>
      </c>
      <c r="K144" s="45">
        <f t="shared" si="1"/>
        <v>19.757000000000001</v>
      </c>
      <c r="L144" s="45">
        <f t="shared" si="1"/>
        <v>18.097000000000001</v>
      </c>
      <c r="M144" s="42">
        <f t="shared" si="2"/>
        <v>1097.6111111111111</v>
      </c>
      <c r="N144" s="42">
        <f t="shared" si="2"/>
        <v>2010.7777777777778</v>
      </c>
      <c r="O144" s="45">
        <f t="shared" ref="O144:P144" si="55">AVERAGE(O31:O32)</f>
        <v>-2.7779999999999999E-2</v>
      </c>
      <c r="P144" s="45">
        <f t="shared" si="55"/>
        <v>-3.2164999999999999E-2</v>
      </c>
      <c r="Q144" s="42">
        <f t="shared" si="4"/>
        <v>7.8159163987138264E-2</v>
      </c>
      <c r="R144" s="42">
        <f t="shared" si="4"/>
        <v>0.17237406216505893</v>
      </c>
      <c r="S144" s="45">
        <f t="shared" ref="S144:T144" si="56">AVERAGE(S31:S32)</f>
        <v>8.577</v>
      </c>
      <c r="T144" s="45">
        <f t="shared" si="56"/>
        <v>7.2577999999999996</v>
      </c>
      <c r="U144" s="42">
        <f t="shared" si="6"/>
        <v>0.44016519174041302</v>
      </c>
      <c r="V144" s="42">
        <f t="shared" si="6"/>
        <v>0.49551019337922003</v>
      </c>
      <c r="W144" s="42">
        <f t="shared" si="7"/>
        <v>4.1728571428571587E-3</v>
      </c>
      <c r="X144" s="42">
        <f t="shared" si="7"/>
        <v>3.5142857142857163E-2</v>
      </c>
      <c r="Y144" s="42">
        <f t="shared" si="8"/>
        <v>-8.1996121063645493E-3</v>
      </c>
      <c r="Z144" s="42">
        <f t="shared" si="8"/>
        <v>-6.9055274843056222E-2</v>
      </c>
      <c r="AA144" s="43"/>
      <c r="AB144" s="43"/>
      <c r="AC144" s="43"/>
      <c r="AD144" s="43"/>
      <c r="AE144">
        <v>0.218</v>
      </c>
    </row>
    <row r="145" spans="2:31" x14ac:dyDescent="0.35">
      <c r="B145">
        <v>26</v>
      </c>
      <c r="C145" s="45">
        <f>AVERAGE(C57:C58)</f>
        <v>-6.89175</v>
      </c>
      <c r="D145" s="45">
        <f>AVERAGE(D57:D58)</f>
        <v>-14.145</v>
      </c>
      <c r="E145" t="e">
        <f>(-#REF!*C$1*C$4)/(C$3*C$2*0.6*10^-3)</f>
        <v>#REF!</v>
      </c>
      <c r="F145">
        <f t="shared" si="0"/>
        <v>190601.31379484592</v>
      </c>
      <c r="I145" s="42">
        <f t="shared" si="50"/>
        <v>0</v>
      </c>
      <c r="J145" s="42">
        <f t="shared" si="50"/>
        <v>0</v>
      </c>
      <c r="K145" s="45">
        <f t="shared" si="1"/>
        <v>14.8218</v>
      </c>
      <c r="L145" s="45">
        <f t="shared" si="1"/>
        <v>11.48235</v>
      </c>
      <c r="M145" s="42">
        <f t="shared" si="2"/>
        <v>823.43333333333339</v>
      </c>
      <c r="N145" s="42">
        <f t="shared" si="2"/>
        <v>1275.8166666666668</v>
      </c>
      <c r="O145" s="45">
        <f t="shared" ref="O145:P145" si="57">AVERAGE(O32:O33)</f>
        <v>-2.6950000000000002E-2</v>
      </c>
      <c r="P145" s="45">
        <f t="shared" si="57"/>
        <v>-4.5194999999999999E-2</v>
      </c>
      <c r="Q145" s="42">
        <f t="shared" si="4"/>
        <v>7.5823954983922831E-2</v>
      </c>
      <c r="R145" s="42">
        <f t="shared" si="4"/>
        <v>0.24220257234726686</v>
      </c>
      <c r="S145" s="45">
        <f t="shared" ref="S145:T145" si="58">AVERAGE(S32:S33)</f>
        <v>9.4228000000000005</v>
      </c>
      <c r="T145" s="45">
        <f t="shared" si="58"/>
        <v>7.202</v>
      </c>
      <c r="U145" s="42">
        <f t="shared" si="6"/>
        <v>0.40468095706325802</v>
      </c>
      <c r="V145" s="42">
        <f t="shared" si="6"/>
        <v>0.49785119632907249</v>
      </c>
      <c r="W145" s="42">
        <f t="shared" si="7"/>
        <v>-2.8857142857142831E-2</v>
      </c>
      <c r="X145" s="42">
        <f t="shared" si="7"/>
        <v>3.0052857142857166E-2</v>
      </c>
      <c r="Y145" s="42">
        <f t="shared" si="8"/>
        <v>5.6703924871127388E-2</v>
      </c>
      <c r="Z145" s="42">
        <f t="shared" si="8"/>
        <v>-5.9053488490787565E-2</v>
      </c>
      <c r="AA145" s="43"/>
      <c r="AB145" s="43"/>
      <c r="AC145" s="43"/>
      <c r="AD145" s="43"/>
      <c r="AE145">
        <v>0.23499999999999999</v>
      </c>
    </row>
    <row r="146" spans="2:31" x14ac:dyDescent="0.35">
      <c r="B146">
        <v>27</v>
      </c>
      <c r="C146" s="45">
        <f>AVERAGE(C59:C60)</f>
        <v>-15.336</v>
      </c>
      <c r="D146" s="45">
        <f>AVERAGE(D59:D60)</f>
        <v>-10.3505</v>
      </c>
      <c r="E146">
        <f>(-C133*C$1*C$4)/(C$3*C$2*0.6*10^-3)</f>
        <v>129693.78473976758</v>
      </c>
      <c r="F146">
        <f t="shared" si="0"/>
        <v>139471.11335691428</v>
      </c>
      <c r="G146" s="45">
        <f>AVERAGE(G37:G38)-$G$114</f>
        <v>-7.9402499999999989</v>
      </c>
      <c r="H146" s="45">
        <f>AVERAGE(H37:H38)-$H$114</f>
        <v>-12.68375</v>
      </c>
      <c r="I146" s="42">
        <f t="shared" si="50"/>
        <v>18.481726190476184</v>
      </c>
      <c r="J146" s="42">
        <f t="shared" si="50"/>
        <v>19.520148809523814</v>
      </c>
      <c r="K146" s="45">
        <f t="shared" si="1"/>
        <v>9.7968000000000011</v>
      </c>
      <c r="L146" s="45">
        <f t="shared" si="1"/>
        <v>6.9963999999999995</v>
      </c>
      <c r="M146" s="42">
        <f t="shared" si="2"/>
        <v>544.26666666666665</v>
      </c>
      <c r="N146" s="42">
        <f t="shared" si="2"/>
        <v>777.37777777777774</v>
      </c>
      <c r="O146" s="45">
        <f t="shared" ref="O146:P146" si="59">AVERAGE(O33:O34)</f>
        <v>-2.9954999999999999E-2</v>
      </c>
      <c r="P146" s="45">
        <f t="shared" si="59"/>
        <v>-5.0619999999999998E-2</v>
      </c>
      <c r="Q146" s="42">
        <f t="shared" si="4"/>
        <v>8.427853697749195E-2</v>
      </c>
      <c r="R146" s="42">
        <f t="shared" si="4"/>
        <v>0.27127545551982846</v>
      </c>
      <c r="S146" s="45">
        <f t="shared" ref="S146:T146" si="60">AVERAGE(S33:S34)</f>
        <v>10.125</v>
      </c>
      <c r="T146" s="45">
        <f t="shared" si="60"/>
        <v>7.4283999999999999</v>
      </c>
      <c r="U146" s="42">
        <f t="shared" si="6"/>
        <v>0.37522123893805315</v>
      </c>
      <c r="V146" s="42">
        <f t="shared" si="6"/>
        <v>0.48835293346443792</v>
      </c>
      <c r="W146" s="42">
        <f t="shared" si="7"/>
        <v>2.3092857142857165E-2</v>
      </c>
      <c r="X146" s="42">
        <f t="shared" si="7"/>
        <v>1.623285714285716E-2</v>
      </c>
      <c r="Y146" s="42">
        <f t="shared" si="8"/>
        <v>-4.5377175521870095E-2</v>
      </c>
      <c r="Z146" s="42">
        <f t="shared" si="8"/>
        <v>-3.1897361302506026E-2</v>
      </c>
      <c r="AA146" s="43"/>
      <c r="AB146" s="43"/>
      <c r="AC146" s="43"/>
      <c r="AD146" s="43"/>
      <c r="AE146">
        <v>0.193</v>
      </c>
    </row>
    <row r="147" spans="2:31" x14ac:dyDescent="0.35">
      <c r="B147">
        <v>28</v>
      </c>
      <c r="C147" s="45">
        <f>AVERAGE(C61:C62)</f>
        <v>-12.439</v>
      </c>
      <c r="D147" s="45">
        <f>AVERAGE(D61:D62)</f>
        <v>-14.9415</v>
      </c>
      <c r="E147" t="e">
        <f>(-#REF!*C$1*C$4)/(C$3*C$2*0.6*10^-3)</f>
        <v>#REF!</v>
      </c>
      <c r="F147">
        <f t="shared" si="0"/>
        <v>201334.00707427994</v>
      </c>
      <c r="G147" s="45"/>
      <c r="H147" s="45"/>
      <c r="I147" s="42">
        <f>(-G141*G$1*G$4)/(G$3*G$2*0.6*10^-3)</f>
        <v>0</v>
      </c>
      <c r="J147" s="42">
        <f>(-H141*H$1*H$4)/(H$3*H$2*0.6*10^-3)</f>
        <v>0</v>
      </c>
      <c r="K147" s="45">
        <f t="shared" si="1"/>
        <v>15.058</v>
      </c>
      <c r="L147" s="45">
        <f t="shared" si="1"/>
        <v>10.16305</v>
      </c>
      <c r="M147" s="42">
        <f t="shared" si="2"/>
        <v>836.55555555555554</v>
      </c>
      <c r="N147" s="42">
        <f t="shared" si="2"/>
        <v>1129.2277777777779</v>
      </c>
      <c r="O147" s="45">
        <f t="shared" ref="O147:P147" si="61">AVERAGE(O34:O35)</f>
        <v>-0.13841500000000001</v>
      </c>
      <c r="P147" s="45">
        <f t="shared" si="61"/>
        <v>-2.802E-2</v>
      </c>
      <c r="Q147" s="42">
        <f t="shared" si="4"/>
        <v>0.38943127009646306</v>
      </c>
      <c r="R147" s="42">
        <f t="shared" si="4"/>
        <v>0.15016077170418007</v>
      </c>
      <c r="S147" s="45">
        <f t="shared" ref="S147:T147" si="62">AVERAGE(S34:S35)</f>
        <v>9.7552500000000002</v>
      </c>
      <c r="T147" s="45">
        <f t="shared" si="62"/>
        <v>7.9478</v>
      </c>
      <c r="U147" s="42">
        <f t="shared" si="6"/>
        <v>0.39073352999016719</v>
      </c>
      <c r="V147" s="42">
        <f t="shared" si="6"/>
        <v>0.46656230744018351</v>
      </c>
      <c r="W147" s="42">
        <f t="shared" si="7"/>
        <v>-5.6057142857142833E-2</v>
      </c>
      <c r="X147" s="42">
        <f t="shared" si="7"/>
        <v>4.714285714285716E-2</v>
      </c>
      <c r="Y147" s="42">
        <f t="shared" si="8"/>
        <v>0.11015158474965543</v>
      </c>
      <c r="Z147" s="42">
        <f t="shared" si="8"/>
        <v>-9.2635124789465659E-2</v>
      </c>
      <c r="AA147" s="43"/>
      <c r="AB147" s="43"/>
      <c r="AC147" s="43"/>
      <c r="AD147" s="43"/>
      <c r="AE147">
        <v>0.21199999999999999</v>
      </c>
    </row>
    <row r="148" spans="2:31" x14ac:dyDescent="0.35">
      <c r="B148">
        <v>29</v>
      </c>
      <c r="C148" s="45">
        <f>AVERAGE(C63:C64)</f>
        <v>-9.0439499999999988</v>
      </c>
      <c r="D148" s="45">
        <f>AVERAGE(D63:D64)</f>
        <v>-14.92</v>
      </c>
      <c r="E148">
        <f>(-C134*C$1*C$4)/(C$3*C$2*0.6*10^-3)</f>
        <v>177564.42647801922</v>
      </c>
      <c r="F148">
        <f t="shared" si="0"/>
        <v>201044.29846723936</v>
      </c>
      <c r="I148" s="42">
        <f>(-G143*G$1*G$4)/(G$3*G$2*0.6*10^-3)</f>
        <v>24.446250000000003</v>
      </c>
      <c r="J148" s="42">
        <f>(-H143*H$1*H$4)/(H$3*H$2*0.6*10^-3)</f>
        <v>26.743144841269839</v>
      </c>
      <c r="K148" s="45">
        <f t="shared" si="1"/>
        <v>19.232999999999997</v>
      </c>
      <c r="L148" s="45">
        <f t="shared" si="1"/>
        <v>12.328600000000002</v>
      </c>
      <c r="M148" s="42">
        <f t="shared" si="2"/>
        <v>1068.4999999999998</v>
      </c>
      <c r="N148" s="42">
        <f t="shared" si="2"/>
        <v>1369.8444444444447</v>
      </c>
      <c r="O148" s="45">
        <f t="shared" ref="O148:P148" si="63">AVERAGE(O35:O36)</f>
        <v>-0.136325</v>
      </c>
      <c r="P148" s="45">
        <f t="shared" si="63"/>
        <v>-2.3495000000000002E-2</v>
      </c>
      <c r="Q148" s="42">
        <f t="shared" si="4"/>
        <v>0.38355104501607717</v>
      </c>
      <c r="R148" s="42">
        <f t="shared" si="4"/>
        <v>0.12591103965702038</v>
      </c>
      <c r="S148" s="45">
        <f t="shared" ref="S148:T148" si="64">AVERAGE(S35:S36)</f>
        <v>9.4486500000000007</v>
      </c>
      <c r="T148" s="45">
        <f t="shared" si="64"/>
        <v>8.5852500000000003</v>
      </c>
      <c r="U148" s="42">
        <f t="shared" si="6"/>
        <v>0.40359646017699113</v>
      </c>
      <c r="V148" s="42">
        <f t="shared" si="6"/>
        <v>0.43981907571288109</v>
      </c>
      <c r="W148" s="42">
        <f t="shared" si="7"/>
        <v>1.9428571428571628E-3</v>
      </c>
      <c r="X148" s="42">
        <f t="shared" si="7"/>
        <v>-2.4457142857142844E-2</v>
      </c>
      <c r="Y148" s="42">
        <f t="shared" si="8"/>
        <v>-3.8176899913234708E-3</v>
      </c>
      <c r="Z148" s="42">
        <f t="shared" si="8"/>
        <v>4.8057979890777286E-2</v>
      </c>
      <c r="AA148" s="43"/>
      <c r="AB148" s="43"/>
      <c r="AC148" s="43"/>
      <c r="AD148" s="43"/>
      <c r="AE148">
        <v>0.22500000000000001</v>
      </c>
    </row>
    <row r="149" spans="2:31" x14ac:dyDescent="0.35">
      <c r="B149">
        <v>30</v>
      </c>
      <c r="C149" s="45">
        <f>AVERAGE(C65:C66)</f>
        <v>-6.2913499999999996</v>
      </c>
      <c r="D149" s="45">
        <f>AVERAGE(D65:D66)</f>
        <v>-15.102499999999999</v>
      </c>
      <c r="E149" t="e">
        <f>(-#REF!*C$1*C$4)/(C$3*C$2*0.6*10^-3)</f>
        <v>#REF!</v>
      </c>
      <c r="F149">
        <f t="shared" si="0"/>
        <v>203503.4529223514</v>
      </c>
      <c r="G149" s="45">
        <f>AVERAGE(G39:G40)-$G$114</f>
        <v>-11.06325</v>
      </c>
      <c r="H149" s="45">
        <f>AVERAGE(H39:H40)-$H$114</f>
        <v>-21.435250000000003</v>
      </c>
      <c r="I149" s="42">
        <f>(-G144*G$1*G$4)/(G$3*G$2*0.6*10^-3)</f>
        <v>0</v>
      </c>
      <c r="J149" s="42">
        <f>(-H144*H$1*H$4)/(H$3*H$2*0.6*10^-3)</f>
        <v>0</v>
      </c>
      <c r="K149" s="45">
        <f t="shared" si="1"/>
        <v>17.66</v>
      </c>
      <c r="L149" s="45">
        <f t="shared" si="1"/>
        <v>8.5550999999999995</v>
      </c>
      <c r="M149" s="42">
        <f t="shared" si="2"/>
        <v>981.11111111111109</v>
      </c>
      <c r="N149" s="42">
        <f t="shared" si="2"/>
        <v>950.56666666666661</v>
      </c>
      <c r="O149" s="45">
        <f t="shared" ref="O149:P149" si="65">AVERAGE(O36:O37)</f>
        <v>-3.0870000000000002E-2</v>
      </c>
      <c r="P149" s="45">
        <f t="shared" si="65"/>
        <v>-2.8095000000000002E-2</v>
      </c>
      <c r="Q149" s="42">
        <f t="shared" si="4"/>
        <v>8.6852893890675242E-2</v>
      </c>
      <c r="R149" s="42">
        <f t="shared" si="4"/>
        <v>0.15056270096463023</v>
      </c>
      <c r="S149" s="45">
        <f t="shared" ref="S149:T149" si="66">AVERAGE(S36:S37)</f>
        <v>8.6525999999999996</v>
      </c>
      <c r="T149" s="45">
        <f t="shared" si="66"/>
        <v>7.4685500000000005</v>
      </c>
      <c r="U149" s="42">
        <f t="shared" si="6"/>
        <v>0.43699351032448386</v>
      </c>
      <c r="V149" s="42">
        <f t="shared" si="6"/>
        <v>0.48666850213044904</v>
      </c>
      <c r="W149" s="42">
        <f t="shared" si="7"/>
        <v>-1.0407142857142837E-2</v>
      </c>
      <c r="X149" s="42">
        <f t="shared" si="7"/>
        <v>-9.5257142857142846E-2</v>
      </c>
      <c r="Y149" s="42">
        <f t="shared" si="8"/>
        <v>2.0449905578522901E-2</v>
      </c>
      <c r="Z149" s="42">
        <f t="shared" si="8"/>
        <v>0.18717909457459292</v>
      </c>
      <c r="AA149" s="43"/>
      <c r="AB149" s="43"/>
      <c r="AC149" s="43"/>
      <c r="AD149" s="43"/>
      <c r="AE149">
        <v>0.16800000000000001</v>
      </c>
    </row>
    <row r="150" spans="2:31" x14ac:dyDescent="0.35">
      <c r="B150">
        <v>31</v>
      </c>
      <c r="C150" s="45">
        <f>AVERAGE(C67:C68)</f>
        <v>-3.9877000000000002</v>
      </c>
      <c r="D150" s="45">
        <f>AVERAGE(D67:D68)</f>
        <v>-18.637999999999998</v>
      </c>
      <c r="E150">
        <f>(-C135*C$1*C$4)/(C$3*C$2*0.6*10^-3)</f>
        <v>65565.773959912432</v>
      </c>
      <c r="F150">
        <f t="shared" si="0"/>
        <v>251143.67525686373</v>
      </c>
      <c r="G150" s="45"/>
      <c r="H150" s="45"/>
      <c r="I150" s="42">
        <f>(-G146*G$1*G$4)/(G$3*G$2*0.6*10^-3)</f>
        <v>25.837321428571425</v>
      </c>
      <c r="J150" s="42">
        <f>(-H146*H$1*H$4)/(H$3*H$2*0.6*10^-3)</f>
        <v>20.63625992063492</v>
      </c>
      <c r="K150" s="45">
        <f t="shared" si="1"/>
        <v>16.069000000000003</v>
      </c>
      <c r="L150" s="45">
        <f t="shared" si="1"/>
        <v>6.9867500000000007</v>
      </c>
      <c r="M150" s="42">
        <f t="shared" si="2"/>
        <v>892.7222222222224</v>
      </c>
      <c r="N150" s="42">
        <f t="shared" si="2"/>
        <v>776.30555555555566</v>
      </c>
      <c r="O150" s="45">
        <f t="shared" ref="O150:P150" si="67">AVERAGE(O37:O38)</f>
        <v>-3.6860000000000004E-2</v>
      </c>
      <c r="P150" s="45">
        <f t="shared" si="67"/>
        <v>-3.0809999999999997E-2</v>
      </c>
      <c r="Q150" s="42">
        <f t="shared" si="4"/>
        <v>0.10370578778135049</v>
      </c>
      <c r="R150" s="42">
        <f t="shared" si="4"/>
        <v>0.16511254019292601</v>
      </c>
      <c r="S150" s="45">
        <f t="shared" ref="S150:T150" si="68">AVERAGE(S37:S38)</f>
        <v>8.2417499999999997</v>
      </c>
      <c r="T150" s="45">
        <f t="shared" si="68"/>
        <v>6.2420499999999999</v>
      </c>
      <c r="U150" s="42">
        <f t="shared" si="6"/>
        <v>0.45423008849557522</v>
      </c>
      <c r="V150" s="42">
        <f t="shared" si="6"/>
        <v>0.5381244182235333</v>
      </c>
      <c r="W150" s="42">
        <f t="shared" si="7"/>
        <v>-2.1857142857142839E-2</v>
      </c>
      <c r="X150" s="42">
        <f t="shared" si="7"/>
        <v>-6.3057142857142839E-2</v>
      </c>
      <c r="Y150" s="42">
        <f t="shared" si="8"/>
        <v>4.2949012402388569E-2</v>
      </c>
      <c r="Z150" s="42">
        <f t="shared" si="8"/>
        <v>0.12390649721839428</v>
      </c>
      <c r="AA150" s="43"/>
      <c r="AB150" s="43"/>
      <c r="AC150" s="43"/>
      <c r="AD150" s="43"/>
      <c r="AE150">
        <v>7.5999999999999998E-2</v>
      </c>
    </row>
    <row r="151" spans="2:31" x14ac:dyDescent="0.35">
      <c r="B151">
        <v>32</v>
      </c>
      <c r="C151" s="45">
        <f>AVERAGE(C69:C70)</f>
        <v>-4.9444499999999998</v>
      </c>
      <c r="D151" s="45">
        <f>AVERAGE(D69:D70)</f>
        <v>-17.683500000000002</v>
      </c>
      <c r="E151" t="e">
        <f>(-#REF!*C$1*C$4)/(C$3*C$2*0.6*10^-3)</f>
        <v>#REF!</v>
      </c>
      <c r="F151">
        <f t="shared" si="0"/>
        <v>238281.96058615466</v>
      </c>
      <c r="G151" s="45">
        <f>AVERAGE(G41:G42)-$G$114</f>
        <v>-8.6742500000000007</v>
      </c>
      <c r="H151" s="45">
        <f>AVERAGE(H41:H42)-$H$114</f>
        <v>-11.83925</v>
      </c>
      <c r="I151" s="42">
        <f>(-G147*G$1*G$4)/(G$3*G$2*0.6*10^-3)</f>
        <v>0</v>
      </c>
      <c r="J151" s="42">
        <f>(-H147*H$1*H$4)/(H$3*H$2*0.6*10^-3)</f>
        <v>0</v>
      </c>
      <c r="K151" s="45">
        <f t="shared" si="1"/>
        <v>16.633499999999998</v>
      </c>
      <c r="L151" s="45">
        <f t="shared" si="1"/>
        <v>16.341750000000001</v>
      </c>
      <c r="M151" s="42">
        <f t="shared" si="2"/>
        <v>924.08333333333326</v>
      </c>
      <c r="N151" s="42">
        <f t="shared" si="2"/>
        <v>1815.7500000000002</v>
      </c>
      <c r="O151" s="45">
        <f t="shared" ref="O151:P151" si="69">AVERAGE(O38:O39)</f>
        <v>-3.4979999999999997E-2</v>
      </c>
      <c r="P151" s="45">
        <f t="shared" si="69"/>
        <v>-2.6769999999999999E-2</v>
      </c>
      <c r="Q151" s="42">
        <f t="shared" si="4"/>
        <v>9.8416398713826361E-2</v>
      </c>
      <c r="R151" s="42">
        <f t="shared" si="4"/>
        <v>0.14346195069667739</v>
      </c>
      <c r="S151" s="45">
        <f t="shared" ref="S151:T151" si="70">AVERAGE(S38:S39)</f>
        <v>8.9594000000000005</v>
      </c>
      <c r="T151" s="45">
        <f t="shared" si="70"/>
        <v>6.0481499999999997</v>
      </c>
      <c r="U151" s="42">
        <f t="shared" si="6"/>
        <v>0.42412218944608332</v>
      </c>
      <c r="V151" s="42">
        <f t="shared" si="6"/>
        <v>0.54625919370698139</v>
      </c>
      <c r="W151" s="42">
        <f t="shared" si="7"/>
        <v>-1.5457142857142836E-2</v>
      </c>
      <c r="X151" s="42">
        <f t="shared" si="7"/>
        <v>-7.0557142857142846E-2</v>
      </c>
      <c r="Y151" s="42">
        <f t="shared" si="8"/>
        <v>3.0373092430970201E-2</v>
      </c>
      <c r="Z151" s="42">
        <f t="shared" si="8"/>
        <v>0.13864390343490018</v>
      </c>
      <c r="AA151" s="43"/>
      <c r="AB151" s="43"/>
      <c r="AC151" s="43"/>
      <c r="AD151" s="43"/>
      <c r="AE151">
        <v>0.158</v>
      </c>
    </row>
    <row r="152" spans="2:31" x14ac:dyDescent="0.35">
      <c r="B152">
        <v>33</v>
      </c>
      <c r="C152" s="45">
        <f>AVERAGE(C71:C72)</f>
        <v>-9.6183499999999995</v>
      </c>
      <c r="D152" s="45">
        <f>AVERAGE(D71:D72)</f>
        <v>-15.0625</v>
      </c>
      <c r="E152">
        <f>(-C136*C$1*C$4)/(C$3*C$2*0.6*10^-3)</f>
        <v>177490.31497389256</v>
      </c>
      <c r="F152">
        <f t="shared" si="0"/>
        <v>202964.46016506656</v>
      </c>
      <c r="G152" s="45"/>
      <c r="H152" s="45"/>
      <c r="I152" s="42">
        <f t="shared" ref="I152:J157" si="71">(-G149*G$1*G$4)/(G$3*G$2*0.6*10^-3)</f>
        <v>35.999464285714282</v>
      </c>
      <c r="J152" s="42">
        <f t="shared" si="71"/>
        <v>34.874811507936514</v>
      </c>
      <c r="K152" s="45">
        <f t="shared" si="1"/>
        <v>17.747999999999998</v>
      </c>
      <c r="L152" s="45">
        <f t="shared" si="1"/>
        <v>25.291</v>
      </c>
      <c r="M152" s="42">
        <f t="shared" si="2"/>
        <v>985.99999999999977</v>
      </c>
      <c r="N152" s="42">
        <f t="shared" si="2"/>
        <v>2810.1111111111109</v>
      </c>
      <c r="O152" s="45">
        <f t="shared" ref="O152:P152" si="72">AVERAGE(O39:O40)</f>
        <v>-2.7584999999999998E-2</v>
      </c>
      <c r="P152" s="45">
        <f t="shared" si="72"/>
        <v>-3.0759999999999999E-2</v>
      </c>
      <c r="Q152" s="42">
        <f t="shared" si="4"/>
        <v>7.7610530546623785E-2</v>
      </c>
      <c r="R152" s="42">
        <f t="shared" si="4"/>
        <v>0.16484458735262594</v>
      </c>
      <c r="S152" s="45">
        <f t="shared" ref="S152:T152" si="73">AVERAGE(S39:S40)</f>
        <v>9.3702500000000004</v>
      </c>
      <c r="T152" s="45">
        <f t="shared" si="73"/>
        <v>5.3812499999999996</v>
      </c>
      <c r="U152" s="42">
        <f t="shared" si="6"/>
        <v>0.40688561127499184</v>
      </c>
      <c r="V152" s="42">
        <f t="shared" si="6"/>
        <v>0.57423795476892836</v>
      </c>
      <c r="W152" s="42">
        <f t="shared" si="7"/>
        <v>3.8528571428571579E-3</v>
      </c>
      <c r="X152" s="42">
        <f t="shared" si="7"/>
        <v>-6.5271428571428425E-3</v>
      </c>
      <c r="Y152" s="42">
        <f t="shared" si="8"/>
        <v>-7.5708161077936284E-3</v>
      </c>
      <c r="Z152" s="42">
        <f t="shared" si="8"/>
        <v>1.2825754095850529E-2</v>
      </c>
      <c r="AA152" s="43"/>
      <c r="AB152" s="43"/>
      <c r="AC152" s="43"/>
      <c r="AD152" s="43"/>
      <c r="AE152">
        <v>0.18099999999999999</v>
      </c>
    </row>
    <row r="153" spans="2:31" x14ac:dyDescent="0.35">
      <c r="B153">
        <v>34</v>
      </c>
      <c r="C153" s="45">
        <f>AVERAGE(C73:C74)</f>
        <v>-13.129999999999999</v>
      </c>
      <c r="D153" s="45">
        <f>AVERAGE(D73:D74)</f>
        <v>-12.699</v>
      </c>
      <c r="E153">
        <f>(-C149*C$1*C$4)/(C$3*C$2*0.6*10^-3)</f>
        <v>84774.802088596945</v>
      </c>
      <c r="F153">
        <f t="shared" si="0"/>
        <v>171116.72561899954</v>
      </c>
      <c r="G153" s="45">
        <f>AVERAGE(G43:G44)-$G$114</f>
        <v>-8.9787500000000016</v>
      </c>
      <c r="H153" s="45">
        <f>AVERAGE(H43:H44)-$H$114</f>
        <v>-15.146250000000002</v>
      </c>
      <c r="I153" s="42">
        <f t="shared" si="71"/>
        <v>0</v>
      </c>
      <c r="J153" s="42">
        <f t="shared" si="71"/>
        <v>0</v>
      </c>
      <c r="K153" s="45">
        <f t="shared" si="1"/>
        <v>16.945</v>
      </c>
      <c r="L153" s="45">
        <f t="shared" si="1"/>
        <v>18.8645</v>
      </c>
      <c r="M153" s="42">
        <f t="shared" si="2"/>
        <v>941.38888888888891</v>
      </c>
      <c r="N153" s="42">
        <f t="shared" si="2"/>
        <v>2096.0555555555557</v>
      </c>
      <c r="O153" s="45">
        <f t="shared" ref="O153:P153" si="74">AVERAGE(O40:O41)</f>
        <v>-3.6450000000000003E-2</v>
      </c>
      <c r="P153" s="45">
        <f t="shared" si="74"/>
        <v>-2.1714999999999998E-2</v>
      </c>
      <c r="Q153" s="42">
        <f t="shared" si="4"/>
        <v>0.10255225080385853</v>
      </c>
      <c r="R153" s="42">
        <f t="shared" si="4"/>
        <v>0.11637191854233654</v>
      </c>
      <c r="S153" s="45">
        <f t="shared" ref="S153:T153" si="75">AVERAGE(S40:S41)</f>
        <v>9.2063000000000006</v>
      </c>
      <c r="T153" s="45">
        <f t="shared" si="75"/>
        <v>5.7870000000000008</v>
      </c>
      <c r="U153" s="42">
        <f t="shared" si="6"/>
        <v>0.4137638806948542</v>
      </c>
      <c r="V153" s="42">
        <f t="shared" si="6"/>
        <v>0.55721533923303834</v>
      </c>
      <c r="W153" s="42">
        <f t="shared" si="7"/>
        <v>2.4132857142857164E-2</v>
      </c>
      <c r="X153" s="42">
        <f t="shared" si="7"/>
        <v>3.8128571428571595E-3</v>
      </c>
      <c r="Y153" s="42">
        <f t="shared" si="8"/>
        <v>-4.742076251722558E-2</v>
      </c>
      <c r="Z153" s="42">
        <f t="shared" si="8"/>
        <v>-7.4922166079722666E-3</v>
      </c>
      <c r="AA153" s="43"/>
      <c r="AB153" s="43"/>
      <c r="AC153" s="43"/>
      <c r="AD153" s="43"/>
    </row>
    <row r="154" spans="2:31" x14ac:dyDescent="0.35">
      <c r="B154">
        <v>35</v>
      </c>
      <c r="C154" s="45">
        <f>AVERAGE(C75:C76)</f>
        <v>-12.8245</v>
      </c>
      <c r="D154" s="45">
        <f>AVERAGE(D75:D76)</f>
        <v>-15.6355</v>
      </c>
      <c r="E154">
        <f>(-C137*C$1*C$4)/(C$3*C$2*0.6*10^-3)</f>
        <v>205322.55347818768</v>
      </c>
      <c r="F154">
        <f t="shared" si="0"/>
        <v>210685.53141317164</v>
      </c>
      <c r="G154" s="45"/>
      <c r="H154" s="45"/>
      <c r="I154" s="42">
        <f t="shared" si="71"/>
        <v>28.225734126984129</v>
      </c>
      <c r="J154" s="42">
        <f t="shared" si="71"/>
        <v>19.262271825396823</v>
      </c>
      <c r="K154" s="45">
        <f t="shared" si="1"/>
        <v>15.384</v>
      </c>
      <c r="L154" s="45">
        <f t="shared" si="1"/>
        <v>13.100999999999999</v>
      </c>
      <c r="M154" s="42">
        <f t="shared" si="2"/>
        <v>854.66666666666674</v>
      </c>
      <c r="N154" s="42">
        <f t="shared" si="2"/>
        <v>1455.6666666666665</v>
      </c>
      <c r="O154" s="45">
        <f t="shared" ref="O154:P154" si="76">AVERAGE(O41:O42)</f>
        <v>-3.8115000000000003E-2</v>
      </c>
      <c r="P154" s="45">
        <f t="shared" si="76"/>
        <v>-2.0615000000000001E-2</v>
      </c>
      <c r="Q154" s="42">
        <f t="shared" si="4"/>
        <v>0.10723673633440516</v>
      </c>
      <c r="R154" s="42">
        <f t="shared" si="4"/>
        <v>0.1104769560557342</v>
      </c>
      <c r="S154" s="45">
        <f t="shared" ref="S154:T154" si="77">AVERAGE(S41:S42)</f>
        <v>8.3994</v>
      </c>
      <c r="T154" s="45">
        <f t="shared" si="77"/>
        <v>6.3974500000000001</v>
      </c>
      <c r="U154" s="42">
        <f t="shared" si="6"/>
        <v>0.44761612586037369</v>
      </c>
      <c r="V154" s="42">
        <f t="shared" si="6"/>
        <v>0.53160485086856768</v>
      </c>
      <c r="W154" s="42">
        <f t="shared" si="7"/>
        <v>1.7028571428571587E-3</v>
      </c>
      <c r="X154" s="42">
        <f t="shared" si="7"/>
        <v>4.0428571428571675E-3</v>
      </c>
      <c r="Y154" s="42">
        <f t="shared" si="8"/>
        <v>-3.3460929923952742E-3</v>
      </c>
      <c r="Z154" s="42">
        <f t="shared" si="8"/>
        <v>-7.9441637319451301E-3</v>
      </c>
      <c r="AA154" s="43"/>
      <c r="AB154" s="43"/>
      <c r="AC154" s="43"/>
      <c r="AD154" s="43"/>
      <c r="AE154">
        <v>0.188</v>
      </c>
    </row>
    <row r="155" spans="2:31" x14ac:dyDescent="0.35">
      <c r="B155">
        <v>36</v>
      </c>
      <c r="C155" s="45">
        <f>AVERAGE(C77:C78)</f>
        <v>-11.1195</v>
      </c>
      <c r="D155" s="45">
        <f>AVERAGE(D77:D78)</f>
        <v>-12.109500000000001</v>
      </c>
      <c r="E155" t="e">
        <f>(-#REF!*C$1*C$4)/(C$3*C$2*0.6*10^-3)</f>
        <v>#REF!</v>
      </c>
      <c r="F155">
        <f t="shared" si="0"/>
        <v>163173.31985851444</v>
      </c>
      <c r="I155" s="42">
        <f t="shared" si="71"/>
        <v>0</v>
      </c>
      <c r="J155" s="42">
        <f t="shared" si="71"/>
        <v>0</v>
      </c>
      <c r="K155" s="45">
        <f t="shared" si="1"/>
        <v>18.102499999999999</v>
      </c>
      <c r="L155" s="45">
        <f t="shared" si="1"/>
        <v>25.5365</v>
      </c>
      <c r="M155" s="42">
        <f t="shared" si="2"/>
        <v>1005.6944444444445</v>
      </c>
      <c r="N155" s="42">
        <f t="shared" si="2"/>
        <v>2837.3888888888891</v>
      </c>
      <c r="O155" s="45">
        <f t="shared" ref="O155:P155" si="78">AVERAGE(O42:O43)</f>
        <v>-3.3685E-2</v>
      </c>
      <c r="P155" s="45">
        <f t="shared" si="78"/>
        <v>-2.69E-2</v>
      </c>
      <c r="Q155" s="42">
        <f t="shared" si="4"/>
        <v>9.4772909967845667E-2</v>
      </c>
      <c r="R155" s="42">
        <f t="shared" si="4"/>
        <v>0.14415862808145766</v>
      </c>
      <c r="S155" s="45">
        <f t="shared" ref="S155:T155" si="79">AVERAGE(S42:S43)</f>
        <v>7.5211000000000006</v>
      </c>
      <c r="T155" s="45">
        <f t="shared" si="79"/>
        <v>6.6459999999999999</v>
      </c>
      <c r="U155" s="42">
        <f t="shared" si="6"/>
        <v>0.48446384791871522</v>
      </c>
      <c r="V155" s="42">
        <f t="shared" si="6"/>
        <v>0.52117731891183217</v>
      </c>
      <c r="W155" s="42">
        <f t="shared" si="7"/>
        <v>3.5432857142857162E-2</v>
      </c>
      <c r="X155" s="42">
        <f t="shared" si="7"/>
        <v>1.7332857142857164E-2</v>
      </c>
      <c r="Y155" s="42">
        <f t="shared" si="8"/>
        <v>-6.9625121216761121E-2</v>
      </c>
      <c r="Z155" s="42">
        <f t="shared" si="8"/>
        <v>-3.4058847547593564E-2</v>
      </c>
      <c r="AA155" s="43"/>
      <c r="AB155" s="43"/>
      <c r="AC155" s="43"/>
      <c r="AD155" s="43"/>
    </row>
    <row r="156" spans="2:31" x14ac:dyDescent="0.35">
      <c r="B156">
        <v>37</v>
      </c>
      <c r="C156" s="45">
        <f>AVERAGE(C79:C80)</f>
        <v>-10.426349999999999</v>
      </c>
      <c r="D156" s="45">
        <f>AVERAGE(D79:D80)</f>
        <v>-15.388500000000001</v>
      </c>
      <c r="E156">
        <f>(-C138*C$1*C$4)/(C$3*C$2*0.6*10^-3)</f>
        <v>210921.34074448378</v>
      </c>
      <c r="F156">
        <f t="shared" si="0"/>
        <v>207357.25113693791</v>
      </c>
      <c r="G156" s="45">
        <f>AVERAGE(G45:G46)-$G$114</f>
        <v>-10.240250000000003</v>
      </c>
      <c r="H156" s="45">
        <f>AVERAGE(H45:H46)-$H$114</f>
        <v>-12.46425</v>
      </c>
      <c r="I156" s="42">
        <f t="shared" si="71"/>
        <v>29.216567460317467</v>
      </c>
      <c r="J156" s="42">
        <f t="shared" si="71"/>
        <v>24.642708333333335</v>
      </c>
      <c r="K156" s="45">
        <f t="shared" si="1"/>
        <v>21.773</v>
      </c>
      <c r="L156" s="45">
        <f t="shared" si="1"/>
        <v>34.881999999999998</v>
      </c>
      <c r="M156" s="42">
        <f t="shared" si="2"/>
        <v>1209.6111111111111</v>
      </c>
      <c r="N156" s="42">
        <f t="shared" si="2"/>
        <v>3875.7777777777774</v>
      </c>
      <c r="O156" s="45">
        <f t="shared" ref="O156:P156" si="80">AVERAGE(O43:O44)</f>
        <v>-3.7680000000000005E-2</v>
      </c>
      <c r="P156" s="45">
        <f t="shared" si="80"/>
        <v>-2.6845000000000001E-2</v>
      </c>
      <c r="Q156" s="42">
        <f t="shared" si="4"/>
        <v>0.10601286173633441</v>
      </c>
      <c r="R156" s="42">
        <f t="shared" si="4"/>
        <v>0.14386387995712754</v>
      </c>
      <c r="S156" s="45">
        <f t="shared" ref="S156:T156" si="81">AVERAGE(S43:S44)</f>
        <v>7.5098000000000003</v>
      </c>
      <c r="T156" s="45">
        <f t="shared" si="81"/>
        <v>6.9737999999999998</v>
      </c>
      <c r="U156" s="42">
        <f t="shared" si="6"/>
        <v>0.48493792199278929</v>
      </c>
      <c r="V156" s="42">
        <f t="shared" si="6"/>
        <v>0.50742497541789577</v>
      </c>
      <c r="W156" s="42">
        <f t="shared" si="7"/>
        <v>5.4828571428571643E-3</v>
      </c>
      <c r="X156" s="42">
        <f t="shared" si="7"/>
        <v>3.2028571428571601E-3</v>
      </c>
      <c r="Y156" s="42">
        <f t="shared" si="8"/>
        <v>-1.0773745725514256E-2</v>
      </c>
      <c r="Z156" s="42">
        <f t="shared" si="8"/>
        <v>-6.2935742356964551E-3</v>
      </c>
      <c r="AA156" s="43"/>
      <c r="AB156" s="43"/>
      <c r="AC156" s="43"/>
      <c r="AD156" s="43"/>
      <c r="AE156">
        <v>0.192</v>
      </c>
    </row>
    <row r="157" spans="2:31" x14ac:dyDescent="0.35">
      <c r="B157">
        <v>38</v>
      </c>
      <c r="C157" s="45">
        <f>AVERAGE(C81:C82)</f>
        <v>-11.96105</v>
      </c>
      <c r="D157" s="45">
        <f>AVERAGE(D81:D82)</f>
        <v>-12.7745</v>
      </c>
      <c r="E157">
        <f>(-C151*C$1*C$4)/(C$3*C$2*0.6*10^-3)</f>
        <v>66625.56846892371</v>
      </c>
      <c r="F157">
        <f t="shared" si="0"/>
        <v>172134.07444837462</v>
      </c>
      <c r="G157" s="45"/>
      <c r="H157" s="45"/>
      <c r="I157" s="42">
        <f t="shared" si="71"/>
        <v>0</v>
      </c>
      <c r="J157" s="42">
        <f t="shared" si="71"/>
        <v>0</v>
      </c>
      <c r="K157" s="45">
        <f t="shared" si="1"/>
        <v>18.0015</v>
      </c>
      <c r="L157" s="45">
        <f t="shared" si="1"/>
        <v>28.409500000000001</v>
      </c>
      <c r="M157" s="42">
        <f t="shared" si="2"/>
        <v>1000.0833333333334</v>
      </c>
      <c r="N157" s="42">
        <f t="shared" si="2"/>
        <v>3156.6111111111113</v>
      </c>
      <c r="O157" s="45">
        <f t="shared" ref="O157:P157" si="82">AVERAGE(O44:O45)</f>
        <v>-3.6420000000000001E-2</v>
      </c>
      <c r="P157" s="45">
        <f t="shared" si="82"/>
        <v>-2.9155E-2</v>
      </c>
      <c r="Q157" s="42">
        <f t="shared" si="4"/>
        <v>0.10246784565916399</v>
      </c>
      <c r="R157" s="42">
        <f t="shared" si="4"/>
        <v>0.15624330117899252</v>
      </c>
      <c r="S157" s="45">
        <f t="shared" ref="S157:T157" si="83">AVERAGE(S44:S45)</f>
        <v>8.6028000000000002</v>
      </c>
      <c r="T157" s="45">
        <f t="shared" si="83"/>
        <v>8.6323499999999989</v>
      </c>
      <c r="U157" s="42">
        <f t="shared" si="6"/>
        <v>0.43908279252704036</v>
      </c>
      <c r="V157" s="42">
        <f t="shared" si="6"/>
        <v>0.43784306784660781</v>
      </c>
      <c r="W157" s="42">
        <f t="shared" si="7"/>
        <v>3.6572857142857164E-2</v>
      </c>
      <c r="X157" s="42">
        <f t="shared" si="7"/>
        <v>-2.1957142857142842E-2</v>
      </c>
      <c r="Y157" s="42">
        <f t="shared" si="8"/>
        <v>-7.1865206961670008E-2</v>
      </c>
      <c r="Z157" s="42">
        <f t="shared" si="8"/>
        <v>4.3145511151941991E-2</v>
      </c>
      <c r="AA157" s="43"/>
      <c r="AB157" s="43"/>
      <c r="AC157" s="43"/>
      <c r="AD157" s="43"/>
    </row>
    <row r="158" spans="2:31" x14ac:dyDescent="0.35">
      <c r="B158">
        <v>39</v>
      </c>
      <c r="C158" s="45">
        <f>AVERAGE(C83:C84)</f>
        <v>-13.5655</v>
      </c>
      <c r="D158" s="45">
        <f>AVERAGE(D83:D84)</f>
        <v>-15.0565</v>
      </c>
      <c r="E158">
        <f>(-C139*C$1*C$4)/(C$3*C$2*0.6*10^-3)</f>
        <v>192871.82078490825</v>
      </c>
      <c r="F158">
        <f t="shared" si="0"/>
        <v>202883.61125147383</v>
      </c>
      <c r="G158" s="45">
        <f>AVERAGE(G47:G48)-$G$114</f>
        <v>-9.414749999999998</v>
      </c>
      <c r="H158" s="45">
        <f>AVERAGE(H47:H48)-$H$114</f>
        <v>-12.91675</v>
      </c>
      <c r="I158" s="42">
        <f t="shared" ref="I158:J161" si="84">(-G156*G$1*G$4)/(G$3*G$2*0.6*10^-3)</f>
        <v>33.321448412698423</v>
      </c>
      <c r="J158" s="42">
        <f t="shared" si="84"/>
        <v>20.279136904761902</v>
      </c>
      <c r="K158" s="45">
        <f t="shared" si="1"/>
        <v>13.695499999999999</v>
      </c>
      <c r="L158" s="45">
        <f t="shared" si="1"/>
        <v>24.435000000000002</v>
      </c>
      <c r="M158" s="42">
        <f t="shared" si="2"/>
        <v>760.86111111111109</v>
      </c>
      <c r="N158" s="42">
        <f t="shared" si="2"/>
        <v>2715</v>
      </c>
      <c r="O158" s="45">
        <f t="shared" ref="O158:P158" si="85">AVERAGE(O45:O46)</f>
        <v>-3.3960000000000004E-2</v>
      </c>
      <c r="P158" s="45">
        <f t="shared" si="85"/>
        <v>-3.0475000000000002E-2</v>
      </c>
      <c r="Q158" s="42">
        <f t="shared" si="4"/>
        <v>9.5546623794212221E-2</v>
      </c>
      <c r="R158" s="42">
        <f t="shared" si="4"/>
        <v>0.16331725616291534</v>
      </c>
      <c r="S158" s="45">
        <f t="shared" ref="S158:T158" si="86">AVERAGE(S45:S46)</f>
        <v>9.4717000000000002</v>
      </c>
      <c r="T158" s="45">
        <f t="shared" si="86"/>
        <v>10.042349999999999</v>
      </c>
      <c r="U158" s="42">
        <f t="shared" si="6"/>
        <v>0.4026294329727958</v>
      </c>
      <c r="V158" s="42">
        <f t="shared" si="6"/>
        <v>0.37868869223205515</v>
      </c>
      <c r="W158" s="42">
        <f t="shared" si="7"/>
        <v>1.2232857142857156E-2</v>
      </c>
      <c r="X158" s="42">
        <f t="shared" si="7"/>
        <v>-2.2957142857142843E-2</v>
      </c>
      <c r="Y158" s="42">
        <f t="shared" si="8"/>
        <v>-2.4037411320369545E-2</v>
      </c>
      <c r="Z158" s="42">
        <f t="shared" si="8"/>
        <v>4.5110498647476106E-2</v>
      </c>
      <c r="AA158" s="43"/>
      <c r="AB158" s="43"/>
      <c r="AC158" s="43"/>
      <c r="AD158" s="43"/>
    </row>
    <row r="159" spans="2:31" x14ac:dyDescent="0.35">
      <c r="B159">
        <v>40</v>
      </c>
      <c r="C159" s="45">
        <f>AVERAGE(C85:C86)</f>
        <v>-8.8269000000000002</v>
      </c>
      <c r="D159" s="45">
        <f>AVERAGE(D85:D86)</f>
        <v>-14.9345</v>
      </c>
      <c r="E159" t="e">
        <f>(-#REF!*C$1*C$4)/(C$3*C$2*0.6*10^-3)</f>
        <v>#REF!</v>
      </c>
      <c r="F159">
        <f t="shared" si="0"/>
        <v>201239.68334175512</v>
      </c>
      <c r="G159" s="45"/>
      <c r="H159" s="45"/>
      <c r="I159" s="42">
        <f t="shared" si="84"/>
        <v>0</v>
      </c>
      <c r="J159" s="42">
        <f t="shared" si="84"/>
        <v>0</v>
      </c>
      <c r="K159" s="45">
        <f t="shared" si="1"/>
        <v>16.853000000000002</v>
      </c>
      <c r="L159" s="45">
        <f t="shared" si="1"/>
        <v>25.720500000000001</v>
      </c>
      <c r="M159" s="42">
        <f t="shared" si="2"/>
        <v>936.27777777777783</v>
      </c>
      <c r="N159" s="42">
        <f t="shared" si="2"/>
        <v>2857.8333333333335</v>
      </c>
      <c r="O159" s="45">
        <f t="shared" ref="O159:P159" si="87">AVERAGE(O46:O47)</f>
        <v>-3.27E-2</v>
      </c>
      <c r="P159" s="45">
        <f t="shared" si="87"/>
        <v>-2.5715000000000002E-2</v>
      </c>
      <c r="Q159" s="42">
        <f t="shared" si="4"/>
        <v>9.20016077170418E-2</v>
      </c>
      <c r="R159" s="42">
        <f t="shared" si="4"/>
        <v>0.13780814576634515</v>
      </c>
      <c r="S159" s="45">
        <f t="shared" ref="S159:T159" si="88">AVERAGE(S46:S47)</f>
        <v>8.4040499999999998</v>
      </c>
      <c r="T159" s="45">
        <f t="shared" si="88"/>
        <v>8.236699999999999</v>
      </c>
      <c r="U159" s="42">
        <f t="shared" si="6"/>
        <v>0.44742104228121937</v>
      </c>
      <c r="V159" s="42">
        <f t="shared" si="6"/>
        <v>0.45444195345788274</v>
      </c>
      <c r="W159" s="42">
        <f t="shared" si="7"/>
        <v>3.1428571428571694E-3</v>
      </c>
      <c r="X159" s="42">
        <f t="shared" si="7"/>
        <v>-3.8657142857142834E-2</v>
      </c>
      <c r="Y159" s="42">
        <f t="shared" si="8"/>
        <v>-6.1756749859644272E-3</v>
      </c>
      <c r="Z159" s="42">
        <f t="shared" si="8"/>
        <v>7.5960802327361771E-2</v>
      </c>
      <c r="AA159" s="43"/>
      <c r="AB159" s="43"/>
      <c r="AC159" s="43"/>
      <c r="AD159" s="43"/>
      <c r="AE159">
        <v>0.14899999999999999</v>
      </c>
    </row>
    <row r="160" spans="2:31" x14ac:dyDescent="0.35">
      <c r="B160">
        <v>41</v>
      </c>
      <c r="C160" s="45">
        <f>AVERAGE(C87:C88)</f>
        <v>-5.1094500000000007</v>
      </c>
      <c r="D160" s="45">
        <f>AVERAGE(D87:D88)</f>
        <v>-16.923000000000002</v>
      </c>
      <c r="E160">
        <f>(-C140*C$1*C$4)/(C$3*C$2*0.6*10^-3)</f>
        <v>217395.99124136774</v>
      </c>
      <c r="F160">
        <f t="shared" si="0"/>
        <v>228034.36078827697</v>
      </c>
      <c r="I160" s="42">
        <f t="shared" si="84"/>
        <v>30.635297619047613</v>
      </c>
      <c r="J160" s="42">
        <f t="shared" si="84"/>
        <v>21.015347222222225</v>
      </c>
      <c r="K160" s="45">
        <f t="shared" si="1"/>
        <v>20.810500000000001</v>
      </c>
      <c r="L160" s="45">
        <f t="shared" si="1"/>
        <v>27.9025</v>
      </c>
      <c r="M160" s="42">
        <f t="shared" si="2"/>
        <v>1156.1388888888889</v>
      </c>
      <c r="N160" s="42">
        <f t="shared" si="2"/>
        <v>3100.2777777777778</v>
      </c>
      <c r="O160" s="45">
        <f t="shared" ref="O160:P160" si="89">AVERAGE(O47:O48)</f>
        <v>-3.2704999999999998E-2</v>
      </c>
      <c r="P160" s="45">
        <f t="shared" si="89"/>
        <v>-2.1054999999999997E-2</v>
      </c>
      <c r="Q160" s="42">
        <f t="shared" si="4"/>
        <v>9.2015675241157543E-2</v>
      </c>
      <c r="R160" s="42">
        <f t="shared" si="4"/>
        <v>0.11283494105037511</v>
      </c>
      <c r="S160" s="45">
        <f t="shared" ref="S160:T160" si="90">AVERAGE(S47:S48)</f>
        <v>7.5165000000000006</v>
      </c>
      <c r="T160" s="45">
        <f t="shared" si="90"/>
        <v>6.4665999999999997</v>
      </c>
      <c r="U160" s="42">
        <f t="shared" si="6"/>
        <v>0.48465683382497543</v>
      </c>
      <c r="V160" s="42">
        <f t="shared" si="6"/>
        <v>0.52870376925598161</v>
      </c>
      <c r="W160" s="42">
        <f t="shared" si="7"/>
        <v>8.5285714285716907E-4</v>
      </c>
      <c r="X160" s="42">
        <f t="shared" si="7"/>
        <v>-3.4857142857142837E-2</v>
      </c>
      <c r="Y160" s="42">
        <f t="shared" si="8"/>
        <v>-1.6758536211912932E-3</v>
      </c>
      <c r="Z160" s="42">
        <f t="shared" si="8"/>
        <v>6.8493849844332114E-2</v>
      </c>
      <c r="AA160" s="43"/>
      <c r="AB160" s="43"/>
      <c r="AC160" s="43"/>
      <c r="AD160" s="43"/>
    </row>
    <row r="161" spans="2:31" x14ac:dyDescent="0.35">
      <c r="B161">
        <v>42</v>
      </c>
      <c r="C161" s="45">
        <f>AVERAGE(C89:C90)</f>
        <v>-5.6951999999999998</v>
      </c>
      <c r="D161" s="45">
        <f>AVERAGE(D89:D90)</f>
        <v>-16.061</v>
      </c>
      <c r="E161" t="e">
        <f>(-#REF!*C$1*C$4)/(C$3*C$2*0.6*10^-3)</f>
        <v>#REF!</v>
      </c>
      <c r="F161">
        <f t="shared" si="0"/>
        <v>216419.06686878897</v>
      </c>
      <c r="G161" s="45">
        <f>AVERAGE(G49:G50)-$G$114</f>
        <v>-7.0462500000000006</v>
      </c>
      <c r="H161" s="45">
        <f>AVERAGE(H49:H50)-$H$114</f>
        <v>-24.741750000000003</v>
      </c>
      <c r="I161" s="42">
        <f t="shared" si="84"/>
        <v>0</v>
      </c>
      <c r="J161" s="42">
        <f t="shared" si="84"/>
        <v>0</v>
      </c>
      <c r="K161" s="45">
        <f t="shared" si="1"/>
        <v>17.8215</v>
      </c>
      <c r="L161" s="45">
        <f t="shared" si="1"/>
        <v>26.0715</v>
      </c>
      <c r="M161" s="42">
        <f t="shared" si="2"/>
        <v>990.08333333333337</v>
      </c>
      <c r="N161" s="42">
        <f t="shared" si="2"/>
        <v>2896.8333333333335</v>
      </c>
      <c r="O161" s="45">
        <f t="shared" ref="O161:P161" si="91">AVERAGE(O48:O49)</f>
        <v>-3.1510000000000003E-2</v>
      </c>
      <c r="P161" s="45">
        <f t="shared" si="91"/>
        <v>-1.677E-2</v>
      </c>
      <c r="Q161" s="42">
        <f t="shared" si="4"/>
        <v>8.8653536977491967E-2</v>
      </c>
      <c r="R161" s="42">
        <f t="shared" si="4"/>
        <v>8.987138263665595E-2</v>
      </c>
      <c r="S161" s="45">
        <f t="shared" ref="S161:T161" si="92">AVERAGE(S48:S49)</f>
        <v>8.8275500000000005</v>
      </c>
      <c r="T161" s="45">
        <f t="shared" si="92"/>
        <v>6.73285</v>
      </c>
      <c r="U161" s="42">
        <f t="shared" si="6"/>
        <v>0.42965375286791219</v>
      </c>
      <c r="V161" s="42">
        <f t="shared" si="6"/>
        <v>0.5175336610947231</v>
      </c>
      <c r="W161" s="42">
        <f t="shared" si="7"/>
        <v>7.5828571428571689E-3</v>
      </c>
      <c r="X161" s="42">
        <f t="shared" si="7"/>
        <v>-1.9257142857142834E-2</v>
      </c>
      <c r="Y161" s="42">
        <f t="shared" si="8"/>
        <v>-1.4900219466135916E-2</v>
      </c>
      <c r="Z161" s="42">
        <f t="shared" si="8"/>
        <v>3.7840044913999851E-2</v>
      </c>
      <c r="AA161" s="43"/>
      <c r="AB161" s="43"/>
      <c r="AC161" s="43"/>
      <c r="AD161" s="43"/>
      <c r="AE161">
        <v>0.22500000000000001</v>
      </c>
    </row>
    <row r="162" spans="2:31" x14ac:dyDescent="0.35">
      <c r="B162">
        <v>43</v>
      </c>
      <c r="C162" s="45">
        <f>AVERAGE(C91:C92)</f>
        <v>-6.7548000000000004</v>
      </c>
      <c r="D162" s="45">
        <f>AVERAGE(D91:D92)</f>
        <v>-15.453999999999999</v>
      </c>
      <c r="E162">
        <f>(-C141*C$1*C$4)/(C$3*C$2*0.6*10^-3)</f>
        <v>202984.67239346475</v>
      </c>
      <c r="F162">
        <f t="shared" si="0"/>
        <v>208239.85177699177</v>
      </c>
      <c r="G162" s="45"/>
      <c r="H162" s="45"/>
      <c r="I162" s="42">
        <f t="shared" ref="I162:J164" si="93">(-G161*G$1*G$4)/(G$3*G$2*0.6*10^-3)</f>
        <v>22.928273809523809</v>
      </c>
      <c r="J162" s="42">
        <f t="shared" si="93"/>
        <v>40.254434523809529</v>
      </c>
      <c r="K162" s="45">
        <f t="shared" si="1"/>
        <v>14.7585</v>
      </c>
      <c r="L162" s="45">
        <f t="shared" si="1"/>
        <v>25.0185</v>
      </c>
      <c r="M162" s="42">
        <f t="shared" si="2"/>
        <v>819.91666666666663</v>
      </c>
      <c r="N162" s="42">
        <f t="shared" si="2"/>
        <v>2779.833333333333</v>
      </c>
      <c r="O162" s="45">
        <f t="shared" ref="O162:P162" si="94">AVERAGE(O49:O50)</f>
        <v>-2.7295E-2</v>
      </c>
      <c r="P162" s="45">
        <f t="shared" si="94"/>
        <v>-2.3165000000000002E-2</v>
      </c>
      <c r="Q162" s="42">
        <f t="shared" si="4"/>
        <v>7.6794614147909973E-2</v>
      </c>
      <c r="R162" s="42">
        <f t="shared" si="4"/>
        <v>0.12414255091103965</v>
      </c>
      <c r="S162" s="45">
        <f t="shared" ref="S162:T162" si="95">AVERAGE(S49:S50)</f>
        <v>9.6321000000000012</v>
      </c>
      <c r="T162" s="45">
        <f t="shared" si="95"/>
        <v>6.8452999999999999</v>
      </c>
      <c r="U162" s="42">
        <f t="shared" si="6"/>
        <v>0.39590009832841688</v>
      </c>
      <c r="V162" s="42">
        <f t="shared" si="6"/>
        <v>0.51281599475581785</v>
      </c>
      <c r="W162" s="42">
        <f t="shared" si="7"/>
        <v>1.7902857142857165E-2</v>
      </c>
      <c r="X162" s="42">
        <f t="shared" si="7"/>
        <v>1.8852857142857157E-2</v>
      </c>
      <c r="Y162" s="42">
        <f t="shared" si="8"/>
        <v>-3.5178890420048015E-2</v>
      </c>
      <c r="Z162" s="42">
        <f t="shared" si="8"/>
        <v>-3.7045628540805418E-2</v>
      </c>
      <c r="AA162" s="43"/>
      <c r="AB162" s="43"/>
      <c r="AC162" s="43"/>
      <c r="AD162" s="43"/>
    </row>
    <row r="163" spans="2:31" x14ac:dyDescent="0.35">
      <c r="B163">
        <v>44</v>
      </c>
      <c r="C163" s="45">
        <f>AVERAGE(C93:C94)</f>
        <v>-4.6798000000000002</v>
      </c>
      <c r="D163" s="45">
        <f>AVERAGE(D93:D94)</f>
        <v>-14.881499999999999</v>
      </c>
      <c r="E163" t="e">
        <f>(-#REF!*C$1*C$4)/(C$3*C$2*0.6*10^-3)</f>
        <v>#REF!</v>
      </c>
      <c r="F163">
        <f t="shared" si="0"/>
        <v>200525.51793835271</v>
      </c>
      <c r="G163" s="45">
        <f>AVERAGE(G51:G52)-$G$114</f>
        <v>-5.8012500000000031</v>
      </c>
      <c r="H163" s="45">
        <f>AVERAGE(H51:H52)-$H$114</f>
        <v>-13.649250000000002</v>
      </c>
      <c r="I163" s="42">
        <f t="shared" si="93"/>
        <v>0</v>
      </c>
      <c r="J163" s="42">
        <f t="shared" si="93"/>
        <v>0</v>
      </c>
      <c r="K163" s="45">
        <f t="shared" si="1"/>
        <v>17.072499999999998</v>
      </c>
      <c r="L163" s="45">
        <f t="shared" si="1"/>
        <v>21.986000000000001</v>
      </c>
      <c r="M163" s="42">
        <f t="shared" si="2"/>
        <v>948.47222222222206</v>
      </c>
      <c r="N163" s="42">
        <f t="shared" si="2"/>
        <v>2442.8888888888887</v>
      </c>
      <c r="O163" s="45">
        <f t="shared" ref="O163:P163" si="96">AVERAGE(O50:O51)</f>
        <v>-3.0385000000000002E-2</v>
      </c>
      <c r="P163" s="45">
        <f t="shared" si="96"/>
        <v>-2.3E-2</v>
      </c>
      <c r="Q163" s="42">
        <f t="shared" si="4"/>
        <v>8.5488344051446952E-2</v>
      </c>
      <c r="R163" s="42">
        <f t="shared" si="4"/>
        <v>0.1232583065380493</v>
      </c>
      <c r="S163" s="45">
        <f t="shared" ref="S163:T163" si="97">AVERAGE(S50:S51)</f>
        <v>8.2195999999999998</v>
      </c>
      <c r="T163" s="45">
        <f t="shared" si="97"/>
        <v>6.5638500000000004</v>
      </c>
      <c r="U163" s="42">
        <f t="shared" si="6"/>
        <v>0.45515935758767623</v>
      </c>
      <c r="V163" s="42">
        <f t="shared" si="6"/>
        <v>0.52462379547689286</v>
      </c>
      <c r="W163" s="42">
        <f t="shared" si="7"/>
        <v>5.9428571428571664E-3</v>
      </c>
      <c r="X163" s="42">
        <f t="shared" si="7"/>
        <v>-3.7271428571428317E-3</v>
      </c>
      <c r="Y163" s="42">
        <f t="shared" si="8"/>
        <v>-1.1677639973459955E-2</v>
      </c>
      <c r="Z163" s="42">
        <f t="shared" si="8"/>
        <v>7.323789108354975E-3</v>
      </c>
      <c r="AA163" s="43"/>
      <c r="AB163" s="43"/>
      <c r="AC163" s="43"/>
      <c r="AD163" s="43"/>
    </row>
    <row r="164" spans="2:31" x14ac:dyDescent="0.35">
      <c r="B164">
        <v>45</v>
      </c>
      <c r="C164" s="45">
        <f>AVERAGE(C95:C96)</f>
        <v>-4.3429500000000001</v>
      </c>
      <c r="D164" s="45">
        <f>AVERAGE(D95:D96)</f>
        <v>-15.576999999999998</v>
      </c>
      <c r="E164">
        <f>(-C142*C$1*C$4)/(C$3*C$2*0.6*10^-3)</f>
        <v>196961.42833080684</v>
      </c>
      <c r="F164">
        <f t="shared" si="0"/>
        <v>209897.25450564257</v>
      </c>
      <c r="I164" s="42">
        <f t="shared" si="93"/>
        <v>18.877083333333342</v>
      </c>
      <c r="J164" s="42">
        <f t="shared" si="93"/>
        <v>22.2071130952381</v>
      </c>
      <c r="K164" s="45">
        <f t="shared" si="1"/>
        <v>18.540500000000002</v>
      </c>
      <c r="L164" s="45">
        <f t="shared" si="1"/>
        <v>19.07</v>
      </c>
      <c r="M164" s="42">
        <f t="shared" si="2"/>
        <v>1030.0277777777778</v>
      </c>
      <c r="N164" s="42">
        <f t="shared" si="2"/>
        <v>2118.8888888888887</v>
      </c>
      <c r="O164" s="45">
        <f t="shared" ref="O164:P164" si="98">AVERAGE(O51:O52)</f>
        <v>-3.7559999999999996E-2</v>
      </c>
      <c r="P164" s="45">
        <f t="shared" si="98"/>
        <v>-2.5499999999999998E-2</v>
      </c>
      <c r="Q164" s="42">
        <f t="shared" si="4"/>
        <v>0.10567524115755626</v>
      </c>
      <c r="R164" s="42">
        <f t="shared" si="4"/>
        <v>0.13665594855305466</v>
      </c>
      <c r="S164" s="45">
        <f t="shared" ref="S164:T164" si="99">AVERAGE(S51:S52)</f>
        <v>7.3338999999999999</v>
      </c>
      <c r="T164" s="45">
        <f t="shared" si="99"/>
        <v>6.492</v>
      </c>
      <c r="U164" s="42">
        <f t="shared" si="6"/>
        <v>0.49231753523434946</v>
      </c>
      <c r="V164" s="42">
        <f t="shared" si="6"/>
        <v>0.52763815142576209</v>
      </c>
      <c r="W164" s="42">
        <f t="shared" si="7"/>
        <v>1.7002857142857167E-2</v>
      </c>
      <c r="X164" s="42">
        <f t="shared" si="7"/>
        <v>-1.0957142857142832E-2</v>
      </c>
      <c r="Y164" s="42">
        <f t="shared" si="8"/>
        <v>-3.3410401674067315E-2</v>
      </c>
      <c r="Z164" s="42">
        <f t="shared" si="8"/>
        <v>2.1530648701066656E-2</v>
      </c>
      <c r="AA164" s="43"/>
      <c r="AB164" s="43"/>
      <c r="AC164" s="43"/>
      <c r="AD164" s="43"/>
      <c r="AE164">
        <v>0.17</v>
      </c>
    </row>
    <row r="165" spans="2:31" x14ac:dyDescent="0.35">
      <c r="B165">
        <v>46</v>
      </c>
      <c r="C165" s="45">
        <f>AVERAGE(C97:C98)</f>
        <v>-7.2124499999999996</v>
      </c>
      <c r="D165" s="45">
        <f>AVERAGE(D97:D98)</f>
        <v>-16.806000000000001</v>
      </c>
      <c r="E165" t="e">
        <f>(-#REF!*C$1*C$4)/(C$3*C$2*0.6*10^-3)</f>
        <v>#REF!</v>
      </c>
      <c r="F165">
        <f t="shared" si="0"/>
        <v>226457.80697321886</v>
      </c>
      <c r="G165" s="45"/>
      <c r="H165" s="45"/>
      <c r="I165" s="42">
        <f t="shared" ref="I165:J170" si="100">(-G165*G$1*G$4)/(G$3*G$2*0.6*10^-3)</f>
        <v>0</v>
      </c>
      <c r="J165" s="42">
        <f t="shared" si="100"/>
        <v>0</v>
      </c>
      <c r="K165" s="45">
        <f t="shared" si="1"/>
        <v>23.488</v>
      </c>
      <c r="L165" s="45">
        <f t="shared" si="1"/>
        <v>18.460999999999999</v>
      </c>
      <c r="M165" s="42">
        <f t="shared" si="2"/>
        <v>1304.8888888888889</v>
      </c>
      <c r="N165" s="42">
        <f t="shared" si="2"/>
        <v>2051.2222222222222</v>
      </c>
      <c r="O165" s="45">
        <f t="shared" ref="O165:P165" si="101">AVERAGE(O52:O53)</f>
        <v>-3.6934999999999996E-2</v>
      </c>
      <c r="P165" s="45">
        <f t="shared" si="101"/>
        <v>-2.76E-2</v>
      </c>
      <c r="Q165" s="42">
        <f t="shared" si="4"/>
        <v>0.10391680064308681</v>
      </c>
      <c r="R165" s="42">
        <f t="shared" si="4"/>
        <v>0.14790996784565916</v>
      </c>
      <c r="S165" s="45">
        <f t="shared" ref="S165:T165" si="102">AVERAGE(S52:S53)</f>
        <v>7.6027500000000003</v>
      </c>
      <c r="T165" s="45">
        <f t="shared" si="102"/>
        <v>7.3440500000000002</v>
      </c>
      <c r="U165" s="42">
        <f t="shared" si="6"/>
        <v>0.48103834808259588</v>
      </c>
      <c r="V165" s="42">
        <f t="shared" si="6"/>
        <v>0.49189170763684048</v>
      </c>
      <c r="W165" s="42">
        <f t="shared" si="7"/>
        <v>1.8722857142857166E-2</v>
      </c>
      <c r="X165" s="42">
        <f t="shared" si="7"/>
        <v>-2.045714285714284E-2</v>
      </c>
      <c r="Y165" s="42">
        <f t="shared" si="8"/>
        <v>-3.6790180166386001E-2</v>
      </c>
      <c r="Z165" s="42">
        <f t="shared" si="8"/>
        <v>4.0198029908640805E-2</v>
      </c>
      <c r="AA165" s="43"/>
      <c r="AB165" s="43"/>
      <c r="AC165" s="43"/>
      <c r="AD165" s="43"/>
    </row>
    <row r="166" spans="2:31" x14ac:dyDescent="0.35">
      <c r="B166">
        <v>47</v>
      </c>
      <c r="C166" s="45">
        <f>AVERAGE(C99:C100)</f>
        <v>-5.0702999999999996</v>
      </c>
      <c r="D166" s="45">
        <f>AVERAGE(D99:D100)</f>
        <v>-15.834499999999998</v>
      </c>
      <c r="E166">
        <f>(-C143*C$1*C$4)/(C$3*C$2*0.6*10^-3)</f>
        <v>207033.85548256699</v>
      </c>
      <c r="F166">
        <f t="shared" si="0"/>
        <v>213367.02038066363</v>
      </c>
      <c r="G166" s="45">
        <f>AVERAGE(G53:G54)-$G$114</f>
        <v>-13.52975</v>
      </c>
      <c r="H166" s="45">
        <f>AVERAGE(H53:H54)-$H$114</f>
        <v>-16.368250000000003</v>
      </c>
      <c r="I166" s="42">
        <f t="shared" si="100"/>
        <v>44.025376984126986</v>
      </c>
      <c r="J166" s="42">
        <f t="shared" si="100"/>
        <v>26.630882936507941</v>
      </c>
      <c r="K166" s="45">
        <f t="shared" si="1"/>
        <v>27.2605</v>
      </c>
      <c r="L166" s="45">
        <f t="shared" si="1"/>
        <v>17.356000000000002</v>
      </c>
      <c r="M166" s="42">
        <f t="shared" si="2"/>
        <v>1514.4722222222224</v>
      </c>
      <c r="N166" s="42">
        <f t="shared" si="2"/>
        <v>1928.4444444444446</v>
      </c>
      <c r="O166" s="45">
        <f t="shared" ref="O166:P166" si="103">AVERAGE(O53:O54)</f>
        <v>-3.5409999999999997E-2</v>
      </c>
      <c r="P166" s="45">
        <f t="shared" si="103"/>
        <v>-2.2234999999999998E-2</v>
      </c>
      <c r="Q166" s="42">
        <f t="shared" si="4"/>
        <v>9.9626205787781349E-2</v>
      </c>
      <c r="R166" s="42">
        <f t="shared" si="4"/>
        <v>0.11915862808145763</v>
      </c>
      <c r="S166" s="45">
        <f t="shared" ref="S166:T166" si="104">AVERAGE(S53:S54)</f>
        <v>9.4273500000000006</v>
      </c>
      <c r="T166" s="45">
        <f t="shared" si="104"/>
        <v>7.7193500000000004</v>
      </c>
      <c r="U166" s="42">
        <f t="shared" si="6"/>
        <v>0.40449006882989186</v>
      </c>
      <c r="V166" s="42">
        <f t="shared" si="6"/>
        <v>0.47614657489347761</v>
      </c>
      <c r="W166" s="42">
        <f t="shared" si="7"/>
        <v>-1.1571428571428427E-3</v>
      </c>
      <c r="X166" s="42">
        <f t="shared" si="7"/>
        <v>-2.0657142857142832E-2</v>
      </c>
      <c r="Y166" s="42">
        <f t="shared" si="8"/>
        <v>2.2737712448323098E-3</v>
      </c>
      <c r="Z166" s="42">
        <f t="shared" si="8"/>
        <v>4.0591027407747615E-2</v>
      </c>
      <c r="AA166" s="43"/>
      <c r="AB166" s="43"/>
      <c r="AC166" s="43"/>
      <c r="AD166" s="43"/>
      <c r="AE166">
        <v>0.17499999999999999</v>
      </c>
    </row>
    <row r="167" spans="2:31" x14ac:dyDescent="0.35">
      <c r="B167">
        <v>48</v>
      </c>
      <c r="C167" s="45">
        <f>AVERAGE(C101:C102)</f>
        <v>-3.63035</v>
      </c>
      <c r="D167" s="45">
        <f>AVERAGE(D101:D102)</f>
        <v>-16.644500000000001</v>
      </c>
      <c r="E167" t="e">
        <f>(-#REF!*C$1*C$4)/(C$3*C$2*0.6*10^-3)</f>
        <v>#REF!</v>
      </c>
      <c r="F167">
        <f t="shared" si="0"/>
        <v>224281.62371568134</v>
      </c>
      <c r="G167" s="45"/>
      <c r="H167" s="45"/>
      <c r="I167" s="42">
        <f t="shared" si="100"/>
        <v>0</v>
      </c>
      <c r="J167" s="42">
        <f t="shared" si="100"/>
        <v>0</v>
      </c>
      <c r="K167" s="45">
        <f t="shared" si="1"/>
        <v>19.008000000000003</v>
      </c>
      <c r="L167" s="45">
        <f t="shared" si="1"/>
        <v>20.622999999999998</v>
      </c>
      <c r="M167" s="42">
        <f t="shared" si="2"/>
        <v>1056</v>
      </c>
      <c r="N167" s="42">
        <f t="shared" si="2"/>
        <v>2291.4444444444439</v>
      </c>
      <c r="O167" s="45">
        <f t="shared" ref="O167:P167" si="105">AVERAGE(O54:O55)</f>
        <v>-3.2744999999999996E-2</v>
      </c>
      <c r="P167" s="45">
        <f t="shared" si="105"/>
        <v>-1.7255E-2</v>
      </c>
      <c r="Q167" s="42">
        <f t="shared" si="4"/>
        <v>9.2128215434083588E-2</v>
      </c>
      <c r="R167" s="42">
        <f t="shared" si="4"/>
        <v>9.2470525187566988E-2</v>
      </c>
      <c r="S167" s="45">
        <f t="shared" ref="S167:T167" si="106">AVERAGE(S54:S55)</f>
        <v>9.27515</v>
      </c>
      <c r="T167" s="45">
        <f t="shared" si="106"/>
        <v>6.5629499999999998</v>
      </c>
      <c r="U167" s="42">
        <f t="shared" si="6"/>
        <v>0.41087538511963295</v>
      </c>
      <c r="V167" s="42">
        <f t="shared" si="6"/>
        <v>0.52466155358898725</v>
      </c>
      <c r="W167" s="42">
        <f t="shared" si="7"/>
        <v>-5.6857142857142828E-2</v>
      </c>
      <c r="X167" s="42">
        <f t="shared" si="7"/>
        <v>-1.6857142857142834E-2</v>
      </c>
      <c r="Y167" s="42">
        <f t="shared" si="8"/>
        <v>0.11172357474608272</v>
      </c>
      <c r="Z167" s="42">
        <f t="shared" si="8"/>
        <v>3.3124074924717965E-2</v>
      </c>
      <c r="AA167" s="43"/>
      <c r="AB167" s="43"/>
      <c r="AC167" s="43"/>
      <c r="AD167" s="43"/>
    </row>
    <row r="168" spans="2:31" x14ac:dyDescent="0.35">
      <c r="B168">
        <v>49</v>
      </c>
      <c r="C168" s="45">
        <f>AVERAGE(C103:C104)</f>
        <v>-14.9255</v>
      </c>
      <c r="D168" s="45">
        <f>AVERAGE(D103:D104)</f>
        <v>-18.223500000000001</v>
      </c>
      <c r="E168">
        <f>(-C144*C$1*C$4)/(C$3*C$2*0.6*10^-3)</f>
        <v>115458.31227892877</v>
      </c>
      <c r="F168">
        <f t="shared" si="0"/>
        <v>245558.36280949978</v>
      </c>
      <c r="G168" s="45">
        <f>AVERAGE(G55:G56)-$G$114</f>
        <v>-3.9067500000000006</v>
      </c>
      <c r="H168" s="45">
        <f>AVERAGE(H55:H56)-$H$114</f>
        <v>-13.360749999999999</v>
      </c>
      <c r="I168" s="42">
        <f t="shared" si="100"/>
        <v>12.712440476190478</v>
      </c>
      <c r="J168" s="42">
        <f t="shared" si="100"/>
        <v>21.737728174603173</v>
      </c>
      <c r="K168" s="45">
        <f t="shared" si="1"/>
        <v>12.7295</v>
      </c>
      <c r="L168" s="45">
        <f t="shared" si="1"/>
        <v>23.463999999999999</v>
      </c>
      <c r="M168" s="42">
        <f t="shared" si="2"/>
        <v>707.19444444444446</v>
      </c>
      <c r="N168" s="42">
        <f t="shared" si="2"/>
        <v>2607.1111111111109</v>
      </c>
      <c r="O168" s="45">
        <f t="shared" ref="O168:P168" si="107">AVERAGE(O55:O56)</f>
        <v>-3.193E-2</v>
      </c>
      <c r="P168" s="45">
        <f t="shared" si="107"/>
        <v>-1.06E-2</v>
      </c>
      <c r="Q168" s="42">
        <f t="shared" si="4"/>
        <v>8.9835209003215441E-2</v>
      </c>
      <c r="R168" s="42">
        <f t="shared" si="4"/>
        <v>5.6806002143622726E-2</v>
      </c>
      <c r="S168" s="45">
        <f t="shared" ref="S168:T168" si="108">AVERAGE(S55:S56)</f>
        <v>7.6133000000000006</v>
      </c>
      <c r="T168" s="45">
        <f t="shared" si="108"/>
        <v>5.5536500000000002</v>
      </c>
      <c r="U168" s="42">
        <f t="shared" si="6"/>
        <v>0.48059573910193382</v>
      </c>
      <c r="V168" s="42">
        <f t="shared" si="6"/>
        <v>0.56700517862995736</v>
      </c>
      <c r="W168" s="42">
        <f t="shared" si="7"/>
        <v>-2.6557142857142835E-2</v>
      </c>
      <c r="X168" s="42">
        <f t="shared" si="7"/>
        <v>-4.7157142857142842E-2</v>
      </c>
      <c r="Y168" s="42">
        <f t="shared" si="8"/>
        <v>5.2184453631398918E-2</v>
      </c>
      <c r="Z168" s="42">
        <f t="shared" si="8"/>
        <v>9.2663196039401791E-2</v>
      </c>
      <c r="AA168" s="43"/>
      <c r="AB168" s="43"/>
      <c r="AC168" s="43"/>
      <c r="AD168" s="43"/>
    </row>
    <row r="169" spans="2:31" x14ac:dyDescent="0.35">
      <c r="B169">
        <v>50</v>
      </c>
      <c r="C169" s="45">
        <f>AVERAGE(C105:C106)</f>
        <v>-14.8825</v>
      </c>
      <c r="D169" s="45">
        <f>AVERAGE(D105:D106)</f>
        <v>-17.9465</v>
      </c>
      <c r="E169" t="e">
        <f>(-#REF!*C$1*C$4)/(C$3*C$2*0.6*10^-3)</f>
        <v>#REF!</v>
      </c>
      <c r="F169">
        <f t="shared" si="0"/>
        <v>241825.83796530237</v>
      </c>
      <c r="G169" s="45"/>
      <c r="H169" s="45"/>
      <c r="I169" s="42">
        <f t="shared" si="100"/>
        <v>0</v>
      </c>
      <c r="J169" s="42">
        <f t="shared" si="100"/>
        <v>0</v>
      </c>
      <c r="K169" s="45">
        <f t="shared" si="1"/>
        <v>14.672499999999999</v>
      </c>
      <c r="L169" s="45">
        <f t="shared" si="1"/>
        <v>19.6005</v>
      </c>
      <c r="M169" s="42">
        <f t="shared" si="2"/>
        <v>815.13888888888891</v>
      </c>
      <c r="N169" s="42">
        <f t="shared" si="2"/>
        <v>2177.833333333333</v>
      </c>
      <c r="O169" s="45">
        <f t="shared" ref="O169:P169" si="109">AVERAGE(O56:O57)</f>
        <v>-2.896E-2</v>
      </c>
      <c r="P169" s="45">
        <f t="shared" si="109"/>
        <v>-9.0100000000000006E-3</v>
      </c>
      <c r="Q169" s="42">
        <f t="shared" si="4"/>
        <v>8.1479099678456596E-2</v>
      </c>
      <c r="R169" s="42">
        <f t="shared" si="4"/>
        <v>4.8285101822079318E-2</v>
      </c>
      <c r="S169" s="45">
        <f t="shared" ref="S169:T169" si="110">AVERAGE(S56:S57)</f>
        <v>7.4864999999999995</v>
      </c>
      <c r="T169" s="45">
        <f t="shared" si="110"/>
        <v>5.7277000000000005</v>
      </c>
      <c r="U169" s="42">
        <f t="shared" si="6"/>
        <v>0.48591543756145533</v>
      </c>
      <c r="V169" s="42">
        <f t="shared" si="6"/>
        <v>0.55970317928548019</v>
      </c>
      <c r="W169" s="42">
        <f t="shared" si="7"/>
        <v>-4.4571428571428401E-3</v>
      </c>
      <c r="X169" s="42">
        <f t="shared" si="7"/>
        <v>-5.6957142857142845E-2</v>
      </c>
      <c r="Y169" s="42">
        <f t="shared" si="8"/>
        <v>8.7582299800948987E-3</v>
      </c>
      <c r="Z169" s="42">
        <f t="shared" si="8"/>
        <v>0.11192007349563617</v>
      </c>
      <c r="AA169" s="43"/>
      <c r="AB169" s="43"/>
      <c r="AC169" s="43"/>
    </row>
    <row r="170" spans="2:31" x14ac:dyDescent="0.35">
      <c r="B170">
        <v>51</v>
      </c>
      <c r="C170" s="45">
        <f>AVERAGE(C107:C108)</f>
        <v>-12.4575</v>
      </c>
      <c r="D170" s="45">
        <f>AVERAGE(D107:D108)</f>
        <v>-18.738500000000002</v>
      </c>
      <c r="E170">
        <f>(-C145*C$1*C$4)/(C$3*C$2*0.6*10^-3)</f>
        <v>92865.083375442147</v>
      </c>
      <c r="F170">
        <f t="shared" si="0"/>
        <v>252497.89455954192</v>
      </c>
      <c r="G170" s="45">
        <f>AVERAGE(G57:G58)-$G$114</f>
        <v>-5.7277500000000003</v>
      </c>
      <c r="H170" s="45">
        <f>AVERAGE(H57:H58)-$H$114</f>
        <v>-7.8427500000000023</v>
      </c>
      <c r="I170" s="42">
        <f t="shared" si="100"/>
        <v>18.637916666666666</v>
      </c>
      <c r="J170" s="42">
        <f t="shared" si="100"/>
        <v>12.760029761904766</v>
      </c>
      <c r="K170" s="45">
        <f t="shared" si="1"/>
        <v>12.4803</v>
      </c>
      <c r="L170" s="45">
        <f t="shared" si="1"/>
        <v>16.095500000000001</v>
      </c>
      <c r="M170" s="42">
        <f t="shared" si="2"/>
        <v>693.35</v>
      </c>
      <c r="N170" s="42">
        <f t="shared" si="2"/>
        <v>1788.3888888888891</v>
      </c>
      <c r="O170" s="45">
        <f t="shared" ref="O170:P170" si="111">AVERAGE(O57:O58)</f>
        <v>-2.7465E-2</v>
      </c>
      <c r="P170" s="45">
        <f t="shared" si="111"/>
        <v>-1.7455000000000001E-3</v>
      </c>
      <c r="Q170" s="42">
        <f t="shared" si="4"/>
        <v>7.7272909967845652E-2</v>
      </c>
      <c r="R170" s="42">
        <f t="shared" si="4"/>
        <v>9.3542336548767414E-3</v>
      </c>
      <c r="S170" s="45">
        <f t="shared" ref="S170:T170" si="112">AVERAGE(S57:S58)</f>
        <v>7.8221500000000006</v>
      </c>
      <c r="T170" s="45">
        <f t="shared" si="112"/>
        <v>6.7003500000000003</v>
      </c>
      <c r="U170" s="42">
        <f t="shared" si="6"/>
        <v>0.47183375942313993</v>
      </c>
      <c r="V170" s="42">
        <f t="shared" si="6"/>
        <v>0.51889714847590962</v>
      </c>
      <c r="W170" s="42">
        <f t="shared" si="7"/>
        <v>7.1428571428571591E-3</v>
      </c>
      <c r="X170" s="42">
        <f t="shared" si="7"/>
        <v>5.212857142857158E-3</v>
      </c>
      <c r="Y170" s="42">
        <f t="shared" si="8"/>
        <v>-1.4035624968100882E-2</v>
      </c>
      <c r="Z170" s="42">
        <f t="shared" si="8"/>
        <v>-1.0243199101720031E-2</v>
      </c>
      <c r="AA170" s="43"/>
      <c r="AB170" s="43"/>
      <c r="AC170" s="43"/>
      <c r="AD170" s="43"/>
    </row>
    <row r="171" spans="2:31" x14ac:dyDescent="0.35">
      <c r="D171" s="43"/>
      <c r="G171" s="45"/>
      <c r="H171" s="45"/>
      <c r="K171" s="43"/>
      <c r="L171" s="43"/>
      <c r="O171" s="43"/>
      <c r="P171" s="43"/>
      <c r="S171" s="43"/>
      <c r="T171" s="43"/>
      <c r="W171" s="43"/>
      <c r="X171" s="43"/>
      <c r="AA171" s="43"/>
      <c r="AB171" s="43"/>
      <c r="AC171" s="43"/>
      <c r="AD171" s="43"/>
      <c r="AE171">
        <v>0.20499999999999999</v>
      </c>
    </row>
    <row r="172" spans="2:31" x14ac:dyDescent="0.35">
      <c r="D172" s="43"/>
      <c r="G172" s="45">
        <f>AVERAGE(G59:G60)-$G$114</f>
        <v>-19.720750000000002</v>
      </c>
      <c r="H172" s="45">
        <f>AVERAGE(H59:H60)-$H$114</f>
        <v>-7.0097500000000004</v>
      </c>
      <c r="K172" s="43"/>
      <c r="L172" s="43"/>
      <c r="O172" s="43"/>
      <c r="P172" s="43"/>
      <c r="S172" s="43"/>
      <c r="T172" s="43"/>
      <c r="W172" s="43"/>
      <c r="X172" s="43"/>
      <c r="AA172" s="43"/>
      <c r="AB172" s="43"/>
      <c r="AC172" s="43"/>
    </row>
    <row r="173" spans="2:31" x14ac:dyDescent="0.35">
      <c r="D173" s="43"/>
      <c r="G173" s="45"/>
      <c r="H173" s="45"/>
      <c r="K173" s="43"/>
      <c r="L173" s="43"/>
      <c r="O173" s="43"/>
      <c r="P173" s="43"/>
      <c r="S173" s="43"/>
      <c r="T173" s="43"/>
      <c r="W173" s="43"/>
      <c r="X173" s="43"/>
      <c r="AA173" s="43"/>
      <c r="AB173" s="43"/>
      <c r="AC173" s="43"/>
      <c r="AD173" s="43"/>
    </row>
    <row r="174" spans="2:31" x14ac:dyDescent="0.35">
      <c r="D174" s="43"/>
      <c r="G174" s="45">
        <f>AVERAGE(G61:G62)-$G$114</f>
        <v>-3.6837500000000016</v>
      </c>
      <c r="H174" s="45">
        <f>AVERAGE(H61:H62)-$H$114</f>
        <v>-8.7907500000000027</v>
      </c>
      <c r="K174" s="43"/>
      <c r="L174" s="43"/>
      <c r="O174" s="43"/>
      <c r="P174" s="43"/>
      <c r="S174" s="43"/>
      <c r="T174" s="43"/>
      <c r="W174" s="43"/>
      <c r="X174" s="43"/>
      <c r="AA174" s="43"/>
      <c r="AB174" s="43"/>
      <c r="AC174" s="43"/>
      <c r="AD174" s="43"/>
      <c r="AE174">
        <v>0.23899999999999999</v>
      </c>
    </row>
    <row r="175" spans="2:31" x14ac:dyDescent="0.35">
      <c r="D175" s="43"/>
      <c r="G175" s="45"/>
      <c r="H175" s="45"/>
      <c r="K175" s="43"/>
      <c r="L175" s="43"/>
      <c r="O175" s="43"/>
      <c r="P175" s="43"/>
      <c r="Q175" s="16" t="s">
        <v>82</v>
      </c>
      <c r="R175" s="16" t="s">
        <v>82</v>
      </c>
      <c r="S175" s="43" t="s">
        <v>85</v>
      </c>
      <c r="T175" s="43" t="s">
        <v>86</v>
      </c>
      <c r="W175" s="43"/>
      <c r="X175" s="43"/>
      <c r="AA175" s="43"/>
      <c r="AB175" s="43"/>
      <c r="AC175" s="43"/>
      <c r="AD175" s="43"/>
    </row>
    <row r="176" spans="2:31" x14ac:dyDescent="0.35">
      <c r="G176" s="45">
        <f>AVERAGE(G63:G64)-$G$114</f>
        <v>-4.4857499999999995</v>
      </c>
      <c r="H176" s="45">
        <f>AVERAGE(H63:H64)-$H$114</f>
        <v>-9.4352499999999999</v>
      </c>
      <c r="Q176" s="42">
        <v>-8.4190000000000001E-2</v>
      </c>
      <c r="R176" s="42">
        <v>-7.8E-2</v>
      </c>
      <c r="S176" s="6">
        <f>($S$114-S120)/($S$114)</f>
        <v>0.62077745001638807</v>
      </c>
      <c r="T176" s="6">
        <f>($S$114-T120)/($S$114)</f>
        <v>0.61042281219272365</v>
      </c>
      <c r="AE176">
        <v>0.128</v>
      </c>
    </row>
    <row r="177" spans="7:31" x14ac:dyDescent="0.35">
      <c r="G177" s="45"/>
      <c r="H177" s="45"/>
      <c r="Q177" s="43">
        <v>-0.14030000000000001</v>
      </c>
      <c r="R177" s="43">
        <v>-0.1956</v>
      </c>
      <c r="S177" s="6">
        <f t="shared" ref="S177:T226" si="113">($S$114-S121)/($S$114)</f>
        <v>0.58997312356604392</v>
      </c>
      <c r="T177" s="6">
        <f t="shared" si="113"/>
        <v>0.64512094395280239</v>
      </c>
    </row>
    <row r="178" spans="7:31" x14ac:dyDescent="0.35">
      <c r="G178" s="45">
        <f>AVERAGE(G65:G66)-$G$114</f>
        <v>-4.2877500000000008</v>
      </c>
      <c r="H178" s="45">
        <f>AVERAGE(H65:H66)-$H$114</f>
        <v>-9.6177500000000009</v>
      </c>
      <c r="Q178" s="43">
        <v>-0.14030000000000001</v>
      </c>
      <c r="R178" s="43">
        <v>-5.6000000000000001E-2</v>
      </c>
      <c r="S178" s="6">
        <f t="shared" si="113"/>
        <v>0.58278072763028521</v>
      </c>
      <c r="T178" s="6">
        <f t="shared" si="113"/>
        <v>0.60689872173058013</v>
      </c>
      <c r="AE178">
        <v>0.27700000000000002</v>
      </c>
    </row>
    <row r="179" spans="7:31" x14ac:dyDescent="0.35">
      <c r="G179" s="45"/>
      <c r="H179" s="45"/>
      <c r="Q179" s="43">
        <v>-0.2064</v>
      </c>
      <c r="R179" s="43">
        <v>-0.23039999999999999</v>
      </c>
      <c r="S179" s="6">
        <f t="shared" si="113"/>
        <v>0.58749524745984927</v>
      </c>
      <c r="T179" s="6">
        <f t="shared" si="113"/>
        <v>0.56434218289085547</v>
      </c>
    </row>
    <row r="180" spans="7:31" x14ac:dyDescent="0.35">
      <c r="G180" s="45">
        <f>AVERAGE(G67:G68)-$G$114</f>
        <v>-1.8932500000000019</v>
      </c>
      <c r="H180" s="45">
        <f>AVERAGE(H67:H68)-$H$114</f>
        <v>-12.756250000000001</v>
      </c>
      <c r="Q180" s="43">
        <v>-0.15329999999999999</v>
      </c>
      <c r="R180" s="43">
        <v>-6.4000000000000001E-2</v>
      </c>
      <c r="S180" s="6">
        <f t="shared" si="113"/>
        <v>0.5570265486725664</v>
      </c>
      <c r="T180" s="6">
        <f t="shared" si="113"/>
        <v>0.53260439200262222</v>
      </c>
    </row>
    <row r="181" spans="7:31" x14ac:dyDescent="0.35">
      <c r="G181" s="45"/>
      <c r="H181" s="45"/>
      <c r="Q181" s="43">
        <v>-9.0139999999999998E-2</v>
      </c>
      <c r="R181" s="43">
        <v>-7.3249999999999996E-2</v>
      </c>
      <c r="S181" s="6">
        <f t="shared" si="113"/>
        <v>0.5506181579809899</v>
      </c>
      <c r="T181" s="6">
        <f t="shared" si="113"/>
        <v>0.58633103900360539</v>
      </c>
      <c r="AE181">
        <v>0.19500000000000001</v>
      </c>
    </row>
    <row r="182" spans="7:31" x14ac:dyDescent="0.35">
      <c r="G182" s="45">
        <f>AVERAGE(G69:G70)-$G$114</f>
        <v>-2.6547499999999999</v>
      </c>
      <c r="H182" s="45">
        <f>AVERAGE(H69:H70)-$H$114</f>
        <v>-11.79325</v>
      </c>
      <c r="Q182" s="43">
        <v>-0.16270000000000001</v>
      </c>
      <c r="R182" s="43">
        <v>-6.0970000000000003E-2</v>
      </c>
      <c r="S182" s="6">
        <f t="shared" si="113"/>
        <v>0.5766738774172403</v>
      </c>
      <c r="T182" s="6">
        <f t="shared" si="113"/>
        <v>0.67138380858734847</v>
      </c>
    </row>
    <row r="183" spans="7:31" x14ac:dyDescent="0.35">
      <c r="G183" s="45"/>
      <c r="H183" s="45"/>
      <c r="Q183" s="43">
        <v>-0.23200000000000001</v>
      </c>
      <c r="R183" s="43">
        <v>-8.5199999999999998E-2</v>
      </c>
      <c r="S183" s="6">
        <f t="shared" si="113"/>
        <v>0.53325991478203871</v>
      </c>
      <c r="T183" s="6">
        <f t="shared" si="113"/>
        <v>0.68016256964929533</v>
      </c>
      <c r="AE183">
        <v>0.21099999999999999</v>
      </c>
    </row>
    <row r="184" spans="7:31" x14ac:dyDescent="0.35">
      <c r="G184" s="45">
        <f>AVERAGE(G71:G72)-$G$114</f>
        <v>-3.2932500000000005</v>
      </c>
      <c r="H184" s="45">
        <f>AVERAGE(H71:H72)-$H$114</f>
        <v>-19.126250000000002</v>
      </c>
      <c r="Q184" s="43">
        <v>-8.5519999999999999E-2</v>
      </c>
      <c r="R184" s="43">
        <v>-0.1143</v>
      </c>
      <c r="S184" s="6">
        <f t="shared" si="113"/>
        <v>0.47617174696820719</v>
      </c>
      <c r="T184" s="6">
        <f t="shared" si="113"/>
        <v>0.66433824975417899</v>
      </c>
    </row>
    <row r="185" spans="7:31" x14ac:dyDescent="0.35">
      <c r="G185" s="45"/>
      <c r="H185" s="45"/>
      <c r="Q185" s="43">
        <v>-0.1236</v>
      </c>
      <c r="R185" s="43">
        <v>-0.1229</v>
      </c>
      <c r="S185" s="6">
        <f t="shared" si="113"/>
        <v>0.51069944280563762</v>
      </c>
      <c r="T185" s="6">
        <f t="shared" si="113"/>
        <v>0.64838020321206169</v>
      </c>
    </row>
    <row r="186" spans="7:31" x14ac:dyDescent="0.35">
      <c r="G186" s="45">
        <f>AVERAGE(G73:G74)-$G$114</f>
        <v>-1.6417500000000018</v>
      </c>
      <c r="H186" s="45">
        <f>AVERAGE(H73:H74)-$H$114</f>
        <v>-9.6052500000000016</v>
      </c>
      <c r="Q186" s="43">
        <v>-0.1764</v>
      </c>
      <c r="R186" s="43">
        <v>-0.10050000000000001</v>
      </c>
      <c r="S186" s="6">
        <f t="shared" si="113"/>
        <v>0.55262667977712221</v>
      </c>
      <c r="T186" s="6">
        <f t="shared" si="113"/>
        <v>0.6624765650606359</v>
      </c>
      <c r="AE186">
        <v>0.26600000000000001</v>
      </c>
    </row>
    <row r="187" spans="7:31" x14ac:dyDescent="0.35">
      <c r="G187" s="45"/>
      <c r="H187" s="45"/>
      <c r="Q187" s="43">
        <v>-9.2399999999999996E-2</v>
      </c>
      <c r="R187" s="43">
        <v>-7.3380000000000001E-2</v>
      </c>
      <c r="S187" s="6">
        <f t="shared" si="113"/>
        <v>0.56151294657489348</v>
      </c>
      <c r="T187" s="6">
        <f t="shared" si="113"/>
        <v>0.67417895771878067</v>
      </c>
    </row>
    <row r="188" spans="7:31" x14ac:dyDescent="0.35">
      <c r="G188" s="45">
        <f>AVERAGE(G75:G76)-$G$114</f>
        <v>-1.1077500000000011</v>
      </c>
      <c r="H188" s="45">
        <f>AVERAGE(H75:H76)-$H$114</f>
        <v>-4.9872499999999995</v>
      </c>
      <c r="Q188" s="43">
        <v>-0.33679999999999999</v>
      </c>
      <c r="R188" s="43">
        <v>-0.1067</v>
      </c>
      <c r="S188" s="6">
        <f t="shared" si="113"/>
        <v>0.57803998688954439</v>
      </c>
      <c r="T188" s="6">
        <f t="shared" si="113"/>
        <v>0.63867059980334318</v>
      </c>
      <c r="AE188">
        <v>0.20200000000000001</v>
      </c>
    </row>
    <row r="189" spans="7:31" x14ac:dyDescent="0.35">
      <c r="G189" s="45"/>
      <c r="H189" s="45"/>
      <c r="Q189" s="43">
        <v>-0.12470000000000001</v>
      </c>
      <c r="R189" s="43">
        <v>-0.12230000000000001</v>
      </c>
      <c r="S189" s="6">
        <f t="shared" si="113"/>
        <v>0.58100294985250733</v>
      </c>
      <c r="T189" s="6">
        <f t="shared" si="113"/>
        <v>0.64106456899377251</v>
      </c>
    </row>
    <row r="190" spans="7:31" x14ac:dyDescent="0.35">
      <c r="G190" s="45">
        <f>AVERAGE(G77:G78)-$G$114</f>
        <v>-3.2677500000000013</v>
      </c>
      <c r="H190" s="45">
        <f>AVERAGE(H77:H78)-$H$114</f>
        <v>-12.113250000000001</v>
      </c>
      <c r="Q190" s="43">
        <v>-8.4870000000000001E-2</v>
      </c>
      <c r="R190" s="43">
        <v>-0.13739999999999999</v>
      </c>
      <c r="S190" s="6">
        <f t="shared" si="113"/>
        <v>0.57220058997050149</v>
      </c>
      <c r="T190" s="6">
        <f t="shared" si="113"/>
        <v>0.5509721402818748</v>
      </c>
      <c r="AE190">
        <v>0.22</v>
      </c>
    </row>
    <row r="191" spans="7:31" x14ac:dyDescent="0.35">
      <c r="G191" s="45"/>
      <c r="H191" s="45"/>
      <c r="Q191" s="43">
        <v>-0.1096</v>
      </c>
      <c r="R191" s="43">
        <v>-0.1109</v>
      </c>
      <c r="S191" s="6">
        <f t="shared" si="113"/>
        <v>0.55303834808259589</v>
      </c>
      <c r="T191" s="6">
        <f t="shared" si="113"/>
        <v>0.50710193379219937</v>
      </c>
    </row>
    <row r="192" spans="7:31" x14ac:dyDescent="0.35">
      <c r="G192" s="45">
        <f>AVERAGE(G79:G80)-$G$114</f>
        <v>-6.4327500000000022</v>
      </c>
      <c r="H192" s="45">
        <f>AVERAGE(H79:H80)-$H$114</f>
        <v>-8.1267500000000013</v>
      </c>
      <c r="Q192" s="43">
        <v>-0.19</v>
      </c>
      <c r="R192" s="43">
        <v>-0.13469999999999999</v>
      </c>
      <c r="S192" s="6">
        <f t="shared" si="113"/>
        <v>0.57334906588003942</v>
      </c>
      <c r="T192" s="6">
        <f t="shared" si="113"/>
        <v>0.60210291707636843</v>
      </c>
      <c r="AE192">
        <v>0.24</v>
      </c>
    </row>
    <row r="193" spans="7:31" x14ac:dyDescent="0.35">
      <c r="G193" s="45"/>
      <c r="H193" s="45"/>
      <c r="Q193" s="43">
        <v>-0.1231</v>
      </c>
      <c r="R193" s="43">
        <v>-8.6169999999999997E-2</v>
      </c>
      <c r="S193" s="6">
        <f t="shared" si="113"/>
        <v>0.55140478531628978</v>
      </c>
      <c r="T193" s="6">
        <f t="shared" si="113"/>
        <v>0.58240314650934122</v>
      </c>
    </row>
    <row r="194" spans="7:31" x14ac:dyDescent="0.35">
      <c r="G194" s="45">
        <f>AVERAGE(G81:G82)-$G$114</f>
        <v>-7.137750000000004</v>
      </c>
      <c r="H194" s="45">
        <f>AVERAGE(H81:H82)-$H$114</f>
        <v>-15.001249999999999</v>
      </c>
      <c r="Q194" s="43">
        <v>-0.10630000000000001</v>
      </c>
      <c r="R194" s="43">
        <v>-0.1069</v>
      </c>
      <c r="S194" s="6">
        <f t="shared" si="113"/>
        <v>0.536401179941003</v>
      </c>
      <c r="T194" s="6">
        <f t="shared" si="113"/>
        <v>0.50355424450999675</v>
      </c>
      <c r="AE194">
        <v>0.16400000000000001</v>
      </c>
    </row>
    <row r="195" spans="7:31" x14ac:dyDescent="0.35">
      <c r="G195" s="45"/>
      <c r="H195" s="45"/>
      <c r="Q195" s="43">
        <v>-0.13</v>
      </c>
      <c r="R195" s="43">
        <v>-0.12180000000000001</v>
      </c>
      <c r="S195" s="6">
        <f t="shared" si="113"/>
        <v>0.55767944936086533</v>
      </c>
      <c r="T195" s="6">
        <f t="shared" si="113"/>
        <v>0.56180399868895448</v>
      </c>
    </row>
    <row r="196" spans="7:31" x14ac:dyDescent="0.35">
      <c r="G196" s="45">
        <f>AVERAGE(G83:G84)-$G$114</f>
        <v>-5.235750000000003</v>
      </c>
      <c r="H196" s="45">
        <f>AVERAGE(H83:H84)-$H$114</f>
        <v>-13.244250000000001</v>
      </c>
      <c r="Q196" s="43">
        <v>-9.0289999999999995E-2</v>
      </c>
      <c r="R196" s="43">
        <v>-0.11070000000000001</v>
      </c>
      <c r="S196" s="6">
        <f t="shared" si="113"/>
        <v>0.55182956407735162</v>
      </c>
      <c r="T196" s="6">
        <f t="shared" si="113"/>
        <v>0.64172795804654215</v>
      </c>
      <c r="AE196">
        <v>0.186</v>
      </c>
    </row>
    <row r="197" spans="7:31" x14ac:dyDescent="0.35">
      <c r="G197" s="45"/>
      <c r="H197" s="45"/>
      <c r="Q197" s="43">
        <v>-6.9190000000000002E-2</v>
      </c>
      <c r="R197" s="43">
        <v>-0.12470000000000001</v>
      </c>
      <c r="S197" s="6">
        <f t="shared" si="113"/>
        <v>0.54508292363159627</v>
      </c>
      <c r="T197" s="6">
        <f t="shared" si="113"/>
        <v>0.64093084234677156</v>
      </c>
    </row>
    <row r="198" spans="7:31" x14ac:dyDescent="0.35">
      <c r="G198" s="45">
        <f>AVERAGE(G85:G86)-$G$114</f>
        <v>-3.3052500000000009</v>
      </c>
      <c r="H198" s="45">
        <f>AVERAGE(H85:H86)-$H$114</f>
        <v>-13.365750000000002</v>
      </c>
      <c r="Q198" s="43">
        <v>-0.1288</v>
      </c>
      <c r="R198" s="43">
        <v>-0.1114</v>
      </c>
      <c r="S198" s="6">
        <f t="shared" si="113"/>
        <v>0.52066076696165198</v>
      </c>
      <c r="T198" s="6">
        <f t="shared" si="113"/>
        <v>0.64213962635201571</v>
      </c>
    </row>
    <row r="199" spans="7:31" x14ac:dyDescent="0.35">
      <c r="G199" s="45"/>
      <c r="H199" s="45"/>
      <c r="Q199" s="43">
        <v>-0.1043</v>
      </c>
      <c r="R199" s="43">
        <v>-0.18010000000000001</v>
      </c>
      <c r="S199" s="6">
        <f t="shared" si="113"/>
        <v>0.52099901671583093</v>
      </c>
      <c r="T199" s="6">
        <f t="shared" si="113"/>
        <v>0.626978695509669</v>
      </c>
    </row>
    <row r="200" spans="7:31" x14ac:dyDescent="0.35">
      <c r="G200" s="45">
        <f>AVERAGE(G87:G88)-$G$114</f>
        <v>-3.8562500000000011</v>
      </c>
      <c r="H200" s="45">
        <f>AVERAGE(H87:H88)-$H$114</f>
        <v>-5.4387499999999989</v>
      </c>
      <c r="Q200" s="43">
        <v>-8.4970000000000004E-2</v>
      </c>
      <c r="R200" s="43">
        <v>-5.3999999999999999E-2</v>
      </c>
      <c r="S200" s="6">
        <f t="shared" si="113"/>
        <v>0.55020648967551622</v>
      </c>
      <c r="T200" s="6">
        <f t="shared" si="113"/>
        <v>0.619387741724025</v>
      </c>
    </row>
    <row r="201" spans="7:31" x14ac:dyDescent="0.35">
      <c r="Q201" s="43">
        <v>-0.11799999999999999</v>
      </c>
      <c r="R201" s="43">
        <v>-5.9089999999999997E-2</v>
      </c>
      <c r="S201" s="6">
        <f t="shared" si="113"/>
        <v>0.50585119632907249</v>
      </c>
      <c r="T201" s="6">
        <f t="shared" si="113"/>
        <v>0.62231399541134058</v>
      </c>
    </row>
    <row r="202" spans="7:31" x14ac:dyDescent="0.35">
      <c r="Q202" s="43">
        <v>-6.6049999999999998E-2</v>
      </c>
      <c r="R202" s="43">
        <v>-7.2910000000000003E-2</v>
      </c>
      <c r="S202" s="6">
        <f t="shared" si="113"/>
        <v>0.46902654867256643</v>
      </c>
      <c r="T202" s="6">
        <f t="shared" si="113"/>
        <v>0.61044116683054739</v>
      </c>
    </row>
    <row r="203" spans="7:31" x14ac:dyDescent="0.35">
      <c r="Q203" s="43">
        <v>-0.1452</v>
      </c>
      <c r="R203" s="43">
        <v>-4.2000000000000003E-2</v>
      </c>
      <c r="S203" s="6">
        <f t="shared" si="113"/>
        <v>0.48841691248770897</v>
      </c>
      <c r="T203" s="6">
        <f t="shared" si="113"/>
        <v>0.58320288430022937</v>
      </c>
    </row>
    <row r="204" spans="7:31" x14ac:dyDescent="0.35">
      <c r="Q204" s="43">
        <v>-8.72E-2</v>
      </c>
      <c r="R204" s="43">
        <v>-0.11360000000000001</v>
      </c>
      <c r="S204" s="6">
        <f t="shared" si="113"/>
        <v>0.50449557522123889</v>
      </c>
      <c r="T204" s="6">
        <f t="shared" si="113"/>
        <v>0.54977384464110135</v>
      </c>
    </row>
    <row r="205" spans="7:31" x14ac:dyDescent="0.35">
      <c r="Q205" s="43">
        <v>-9.955E-2</v>
      </c>
      <c r="R205" s="43">
        <v>-0.18440000000000001</v>
      </c>
      <c r="S205" s="6">
        <f t="shared" si="113"/>
        <v>0.54624188790560479</v>
      </c>
      <c r="T205" s="6">
        <f t="shared" si="113"/>
        <v>0.60833562766306126</v>
      </c>
    </row>
    <row r="206" spans="7:31" x14ac:dyDescent="0.35">
      <c r="Q206" s="43">
        <v>-0.111</v>
      </c>
      <c r="R206" s="43">
        <v>-0.1522</v>
      </c>
      <c r="S206" s="6">
        <f t="shared" si="113"/>
        <v>0.56778761061946903</v>
      </c>
      <c r="T206" s="6">
        <f t="shared" si="113"/>
        <v>0.67265552277941665</v>
      </c>
    </row>
    <row r="207" spans="7:31" x14ac:dyDescent="0.35">
      <c r="Q207" s="43">
        <v>-0.1046</v>
      </c>
      <c r="R207" s="43">
        <v>-0.15970000000000001</v>
      </c>
      <c r="S207" s="6">
        <f t="shared" si="113"/>
        <v>0.53015273680760411</v>
      </c>
      <c r="T207" s="6">
        <f t="shared" si="113"/>
        <v>0.68282399213372669</v>
      </c>
    </row>
    <row r="208" spans="7:31" x14ac:dyDescent="0.35">
      <c r="Q208" s="43">
        <v>-8.5290000000000005E-2</v>
      </c>
      <c r="R208" s="43">
        <v>-9.5670000000000005E-2</v>
      </c>
      <c r="S208" s="6">
        <f t="shared" si="113"/>
        <v>0.50860701409373976</v>
      </c>
      <c r="T208" s="6">
        <f t="shared" si="113"/>
        <v>0.71779744346116037</v>
      </c>
    </row>
    <row r="209" spans="17:20" x14ac:dyDescent="0.35">
      <c r="Q209" s="43">
        <v>-6.5009999999999998E-2</v>
      </c>
      <c r="R209" s="43">
        <v>-8.5330000000000003E-2</v>
      </c>
      <c r="S209" s="6">
        <f t="shared" si="113"/>
        <v>0.51720485086856771</v>
      </c>
      <c r="T209" s="6">
        <f t="shared" si="113"/>
        <v>0.69651917404129793</v>
      </c>
    </row>
    <row r="210" spans="17:20" x14ac:dyDescent="0.35">
      <c r="Q210" s="43">
        <v>-8.7440000000000004E-2</v>
      </c>
      <c r="R210" s="43">
        <v>-8.5099999999999995E-2</v>
      </c>
      <c r="S210" s="6">
        <f t="shared" si="113"/>
        <v>0.55952015732546712</v>
      </c>
      <c r="T210" s="6">
        <f t="shared" si="113"/>
        <v>0.66450606358570963</v>
      </c>
    </row>
    <row r="211" spans="17:20" x14ac:dyDescent="0.35">
      <c r="Q211" s="43">
        <v>-5.3710000000000001E-2</v>
      </c>
      <c r="R211" s="43">
        <v>-7.1809999999999999E-2</v>
      </c>
      <c r="S211" s="6">
        <f t="shared" si="113"/>
        <v>0.60557980989839399</v>
      </c>
      <c r="T211" s="6">
        <f t="shared" si="113"/>
        <v>0.65147164863979024</v>
      </c>
    </row>
    <row r="212" spans="17:20" x14ac:dyDescent="0.35">
      <c r="Q212" s="43">
        <v>-8.3659999999999998E-2</v>
      </c>
      <c r="R212" s="43">
        <v>-8.5940000000000003E-2</v>
      </c>
      <c r="S212" s="6">
        <f t="shared" si="113"/>
        <v>0.60617240249098658</v>
      </c>
      <c r="T212" s="6">
        <f t="shared" si="113"/>
        <v>0.63428121927236969</v>
      </c>
    </row>
    <row r="213" spans="17:20" x14ac:dyDescent="0.35">
      <c r="Q213" s="43">
        <v>-5.2569999999999999E-2</v>
      </c>
      <c r="R213" s="43">
        <v>-0.1111</v>
      </c>
      <c r="S213" s="6">
        <f t="shared" si="113"/>
        <v>0.5488534906588004</v>
      </c>
      <c r="T213" s="6">
        <f t="shared" si="113"/>
        <v>0.54730383480825973</v>
      </c>
    </row>
    <row r="214" spans="17:20" x14ac:dyDescent="0.35">
      <c r="Q214" s="43">
        <v>-7.6910000000000006E-2</v>
      </c>
      <c r="R214" s="43">
        <v>-0.11210000000000001</v>
      </c>
      <c r="S214" s="6">
        <f t="shared" si="113"/>
        <v>0.50328679121599473</v>
      </c>
      <c r="T214" s="6">
        <f t="shared" si="113"/>
        <v>0.47336086529006893</v>
      </c>
    </row>
    <row r="215" spans="17:20" x14ac:dyDescent="0.35">
      <c r="Q215" s="43">
        <v>-8.5999999999999993E-2</v>
      </c>
      <c r="R215" s="43">
        <v>-0.1278</v>
      </c>
      <c r="S215" s="6">
        <f t="shared" si="113"/>
        <v>0.55927630285152419</v>
      </c>
      <c r="T215" s="6">
        <f t="shared" si="113"/>
        <v>0.56805244182235337</v>
      </c>
    </row>
    <row r="216" spans="17:20" x14ac:dyDescent="0.35">
      <c r="Q216" s="43">
        <v>-8.8289999999999993E-2</v>
      </c>
      <c r="R216" s="43">
        <v>-0.124</v>
      </c>
      <c r="S216" s="6">
        <f t="shared" si="113"/>
        <v>0.60582104228121925</v>
      </c>
      <c r="T216" s="6">
        <f t="shared" si="113"/>
        <v>0.66087971156997705</v>
      </c>
    </row>
    <row r="217" spans="17:20" x14ac:dyDescent="0.35">
      <c r="Q217" s="43">
        <v>-8.1559999999999994E-2</v>
      </c>
      <c r="R217" s="43">
        <v>-0.1084</v>
      </c>
      <c r="S217" s="6">
        <f t="shared" si="113"/>
        <v>0.53706719108489021</v>
      </c>
      <c r="T217" s="6">
        <f t="shared" si="113"/>
        <v>0.6469170763684039</v>
      </c>
    </row>
    <row r="218" spans="17:20" x14ac:dyDescent="0.35">
      <c r="Q218" s="43">
        <v>-7.1239999999999998E-2</v>
      </c>
      <c r="R218" s="43">
        <v>-7.0290000000000005E-2</v>
      </c>
      <c r="S218" s="6">
        <f t="shared" si="113"/>
        <v>0.4948751229105211</v>
      </c>
      <c r="T218" s="6">
        <f t="shared" si="113"/>
        <v>0.64101999344477223</v>
      </c>
    </row>
    <row r="219" spans="17:20" x14ac:dyDescent="0.35">
      <c r="Q219" s="43">
        <v>-8.3199999999999996E-2</v>
      </c>
      <c r="R219" s="43">
        <v>-9.2869999999999994E-2</v>
      </c>
      <c r="S219" s="6">
        <f t="shared" si="113"/>
        <v>0.56894919698459523</v>
      </c>
      <c r="T219" s="6">
        <f t="shared" si="113"/>
        <v>0.65577974434611608</v>
      </c>
    </row>
    <row r="220" spans="17:20" x14ac:dyDescent="0.35">
      <c r="Q220" s="43">
        <v>-7.2139999999999996E-2</v>
      </c>
      <c r="R220" s="43">
        <v>-0.10009999999999999</v>
      </c>
      <c r="S220" s="6">
        <f t="shared" si="113"/>
        <v>0.61539691904293681</v>
      </c>
      <c r="T220" s="6">
        <f t="shared" si="113"/>
        <v>0.65954768928220253</v>
      </c>
    </row>
    <row r="221" spans="17:20" x14ac:dyDescent="0.35">
      <c r="Q221" s="43">
        <v>-7.0419999999999996E-2</v>
      </c>
      <c r="R221" s="43">
        <v>-0.1096</v>
      </c>
      <c r="S221" s="6">
        <f t="shared" si="113"/>
        <v>0.60129793510324481</v>
      </c>
      <c r="T221" s="6">
        <f t="shared" si="113"/>
        <v>0.61486463454605056</v>
      </c>
    </row>
    <row r="222" spans="17:20" x14ac:dyDescent="0.35">
      <c r="Q222" s="43">
        <v>-9.0300000000000005E-2</v>
      </c>
      <c r="R222" s="43">
        <v>-0.10979999999999999</v>
      </c>
      <c r="S222" s="6">
        <f t="shared" si="113"/>
        <v>0.50561258603736481</v>
      </c>
      <c r="T222" s="6">
        <f t="shared" si="113"/>
        <v>0.59518321861684698</v>
      </c>
    </row>
    <row r="223" spans="17:20" x14ac:dyDescent="0.35">
      <c r="Q223" s="43">
        <v>-0.14599999999999999</v>
      </c>
      <c r="R223" s="43">
        <v>-0.106</v>
      </c>
      <c r="S223" s="6">
        <f t="shared" si="113"/>
        <v>0.51359423139954119</v>
      </c>
      <c r="T223" s="6">
        <f t="shared" si="113"/>
        <v>0.65582694198623404</v>
      </c>
    </row>
    <row r="224" spans="17:20" x14ac:dyDescent="0.35">
      <c r="Q224" s="43">
        <v>-0.1157</v>
      </c>
      <c r="R224" s="43">
        <v>-0.1363</v>
      </c>
      <c r="S224" s="6">
        <f t="shared" si="113"/>
        <v>0.60074467387741726</v>
      </c>
      <c r="T224" s="6">
        <f t="shared" si="113"/>
        <v>0.70875647328744673</v>
      </c>
    </row>
    <row r="225" spans="17:20" x14ac:dyDescent="0.35">
      <c r="Q225" s="43">
        <v>-9.3600000000000003E-2</v>
      </c>
      <c r="R225" s="43">
        <v>-0.14610000000000001</v>
      </c>
      <c r="S225" s="6">
        <f t="shared" si="113"/>
        <v>0.60739429695181912</v>
      </c>
      <c r="T225" s="6">
        <f t="shared" si="113"/>
        <v>0.69962897410685021</v>
      </c>
    </row>
    <row r="226" spans="17:20" x14ac:dyDescent="0.35">
      <c r="Q226" s="43">
        <v>-8.2000000000000003E-2</v>
      </c>
      <c r="R226" s="43">
        <v>-8.3930000000000005E-2</v>
      </c>
      <c r="S226" s="6">
        <f t="shared" si="113"/>
        <v>0.5897921992789249</v>
      </c>
      <c r="T226" s="6">
        <f t="shared" si="113"/>
        <v>0.64862143559488694</v>
      </c>
    </row>
  </sheetData>
  <mergeCells count="2">
    <mergeCell ref="AE4:AF5"/>
    <mergeCell ref="AG4:AH5"/>
  </mergeCells>
  <conditionalFormatting sqref="AA102:AE102 AA38:AE38 AA40:AE40 AA42:AE42 AA44:AE44 AA46:AE46 AA48:AE48 AA50:AE50 AA52:AE52 AA54:AE54 AA56:AE56 AA58:AE58 AA60:AE60 AA62:AE62 AA64:AE64 AA66:AE66 AA68:AE68 AA70:AE70 AA72:AE72 AA74:AE74 AA76:AE76 AA78:AE78 AA80:AE80 AA82:AE82 AA84:AE84 AA86:AE86 AA88:AE88 AA90:AE90 AA92:AE92 AA94:AE94 AA96:AE96 AA98:AE98 AA100:AE100 AA104:AE104 AA106:AE106 AA108:AE108 G108:V108 G106:V106 G107:AE107 G104:V104 G105:AE105 G100:V100 G101:AE101 G98:V98 G99:AE99 G96:V96 G97:AE97 G94:V94 G95:AE95 G92:V92 G93:AE93 G90:V90 G91:AE91 G88:V88 G89:AE89 G86:V86 G87:AE87 G84:V84 G85:AE85 G82:V82 G83:AE83 G80:V80 G81:AE81 G78:V78 G79:AE79 G76:V76 G77:AE77 G74:V74 G75:AE75 G72:V72 G73:AE73 G70:V70 G71:AE71 G68:V68 G69:AE69 G66:V66 G67:AE67 G64:V64 G65:AE65 G62:V62 G63:AE63 G60:V60 G61:AE61 G58:V58 G59:AE59 G56:V56 G57:AE57 G54:V54 G55:AE55 G52:V52 G53:AE53 G50:V50 G51:AE51 G48:V48 G49:AE49 G46:V46 G47:AE47 G44:V44 G45:AE45 G42:V42 G43:AE43 G40:V40 G41:AE41 G38:V38 G39:AE39 G36:V36 G34:V34 G32:V32 G30:V30 G28:V28 G26:V26 G24:V24 G22:V22 G20:V20 G18:V18 G16:V16 G14:V14 G12:V12 G10:V10 G103:AE103 G102:V102 G8:W9 C7:F108 C6:D6 E120:F170 G7:AE7 G6:H6 C109:AE118 I120:J170 K6:L6 M120:N170 O6:P6 AA6:AE6 C227:AE1048576 C201:P226 Q120:R170 S6:T6 W6:X6 D119:AE119 U176:V198 S176:T226 U120:X170 AH119 Y120:AE131 U222:AE226 U199:AD221 AE210 AE186:AE196 AE159:AE161 Y132:AD147 Y173:AD198 Y148:AC172 AE169 AE163:AE166 AE171:AE172 AD170:AD171 AD148:AD168 AE180:AE184 AE174:AE178 AE132:AE157 D171:F181 C182:F200 I176:P200 I171:V175 X9:AA9 G11:AA11 G13:AA13 G15:AA15 G17:AA17 G19:AA19 G21:AA21 G23:AA23 G25:AA25 G27:AA27 G29:AA29 G31:AA31 G33:AA33 AB8:AE36 G35:AA35 G37:AE37">
    <cfRule type="beginsWith" dxfId="104" priority="106" operator="beginsWith" text="NA">
      <formula>LEFT(C6,LEN("NA"))="NA"</formula>
    </cfRule>
  </conditionalFormatting>
  <conditionalFormatting sqref="X8:Z8">
    <cfRule type="beginsWith" dxfId="103" priority="103" operator="beginsWith" text="NA">
      <formula>LEFT(X8,LEN("NA"))="NA"</formula>
    </cfRule>
  </conditionalFormatting>
  <conditionalFormatting sqref="W10">
    <cfRule type="beginsWith" dxfId="102" priority="102" operator="beginsWith" text="NA">
      <formula>LEFT(W10,LEN("NA"))="NA"</formula>
    </cfRule>
  </conditionalFormatting>
  <conditionalFormatting sqref="X10:Z10">
    <cfRule type="beginsWith" dxfId="101" priority="101" operator="beginsWith" text="NA">
      <formula>LEFT(X10,LEN("NA"))="NA"</formula>
    </cfRule>
  </conditionalFormatting>
  <conditionalFormatting sqref="W12">
    <cfRule type="beginsWith" dxfId="100" priority="100" operator="beginsWith" text="NA">
      <formula>LEFT(W12,LEN("NA"))="NA"</formula>
    </cfRule>
  </conditionalFormatting>
  <conditionalFormatting sqref="X12:Z12">
    <cfRule type="beginsWith" dxfId="99" priority="99" operator="beginsWith" text="NA">
      <formula>LEFT(X12,LEN("NA"))="NA"</formula>
    </cfRule>
  </conditionalFormatting>
  <conditionalFormatting sqref="W14">
    <cfRule type="beginsWith" dxfId="98" priority="98" operator="beginsWith" text="NA">
      <formula>LEFT(W14,LEN("NA"))="NA"</formula>
    </cfRule>
  </conditionalFormatting>
  <conditionalFormatting sqref="X14:Z14">
    <cfRule type="beginsWith" dxfId="97" priority="97" operator="beginsWith" text="NA">
      <formula>LEFT(X14,LEN("NA"))="NA"</formula>
    </cfRule>
  </conditionalFormatting>
  <conditionalFormatting sqref="W16">
    <cfRule type="beginsWith" dxfId="96" priority="96" operator="beginsWith" text="NA">
      <formula>LEFT(W16,LEN("NA"))="NA"</formula>
    </cfRule>
  </conditionalFormatting>
  <conditionalFormatting sqref="X16:Z16">
    <cfRule type="beginsWith" dxfId="95" priority="95" operator="beginsWith" text="NA">
      <formula>LEFT(X16,LEN("NA"))="NA"</formula>
    </cfRule>
  </conditionalFormatting>
  <conditionalFormatting sqref="W18">
    <cfRule type="beginsWith" dxfId="94" priority="94" operator="beginsWith" text="NA">
      <formula>LEFT(W18,LEN("NA"))="NA"</formula>
    </cfRule>
  </conditionalFormatting>
  <conditionalFormatting sqref="X18:Z18">
    <cfRule type="beginsWith" dxfId="93" priority="93" operator="beginsWith" text="NA">
      <formula>LEFT(X18,LEN("NA"))="NA"</formula>
    </cfRule>
  </conditionalFormatting>
  <conditionalFormatting sqref="W20">
    <cfRule type="beginsWith" dxfId="92" priority="92" operator="beginsWith" text="NA">
      <formula>LEFT(W20,LEN("NA"))="NA"</formula>
    </cfRule>
  </conditionalFormatting>
  <conditionalFormatting sqref="X20:Z20">
    <cfRule type="beginsWith" dxfId="91" priority="91" operator="beginsWith" text="NA">
      <formula>LEFT(X20,LEN("NA"))="NA"</formula>
    </cfRule>
  </conditionalFormatting>
  <conditionalFormatting sqref="W22">
    <cfRule type="beginsWith" dxfId="90" priority="90" operator="beginsWith" text="NA">
      <formula>LEFT(W22,LEN("NA"))="NA"</formula>
    </cfRule>
  </conditionalFormatting>
  <conditionalFormatting sqref="X22:Z22">
    <cfRule type="beginsWith" dxfId="89" priority="89" operator="beginsWith" text="NA">
      <formula>LEFT(X22,LEN("NA"))="NA"</formula>
    </cfRule>
  </conditionalFormatting>
  <conditionalFormatting sqref="W24">
    <cfRule type="beginsWith" dxfId="88" priority="88" operator="beginsWith" text="NA">
      <formula>LEFT(W24,LEN("NA"))="NA"</formula>
    </cfRule>
  </conditionalFormatting>
  <conditionalFormatting sqref="X24:Z24">
    <cfRule type="beginsWith" dxfId="87" priority="87" operator="beginsWith" text="NA">
      <formula>LEFT(X24,LEN("NA"))="NA"</formula>
    </cfRule>
  </conditionalFormatting>
  <conditionalFormatting sqref="W26">
    <cfRule type="beginsWith" dxfId="86" priority="86" operator="beginsWith" text="NA">
      <formula>LEFT(W26,LEN("NA"))="NA"</formula>
    </cfRule>
  </conditionalFormatting>
  <conditionalFormatting sqref="X26:Z26">
    <cfRule type="beginsWith" dxfId="85" priority="85" operator="beginsWith" text="NA">
      <formula>LEFT(X26,LEN("NA"))="NA"</formula>
    </cfRule>
  </conditionalFormatting>
  <conditionalFormatting sqref="W28">
    <cfRule type="beginsWith" dxfId="84" priority="84" operator="beginsWith" text="NA">
      <formula>LEFT(W28,LEN("NA"))="NA"</formula>
    </cfRule>
  </conditionalFormatting>
  <conditionalFormatting sqref="X28:Z28">
    <cfRule type="beginsWith" dxfId="83" priority="83" operator="beginsWith" text="NA">
      <formula>LEFT(X28,LEN("NA"))="NA"</formula>
    </cfRule>
  </conditionalFormatting>
  <conditionalFormatting sqref="W30">
    <cfRule type="beginsWith" dxfId="82" priority="82" operator="beginsWith" text="NA">
      <formula>LEFT(W30,LEN("NA"))="NA"</formula>
    </cfRule>
  </conditionalFormatting>
  <conditionalFormatting sqref="X30:Z30">
    <cfRule type="beginsWith" dxfId="81" priority="81" operator="beginsWith" text="NA">
      <formula>LEFT(X30,LEN("NA"))="NA"</formula>
    </cfRule>
  </conditionalFormatting>
  <conditionalFormatting sqref="W32">
    <cfRule type="beginsWith" dxfId="80" priority="80" operator="beginsWith" text="NA">
      <formula>LEFT(W32,LEN("NA"))="NA"</formula>
    </cfRule>
  </conditionalFormatting>
  <conditionalFormatting sqref="X32:Z32">
    <cfRule type="beginsWith" dxfId="79" priority="79" operator="beginsWith" text="NA">
      <formula>LEFT(X32,LEN("NA"))="NA"</formula>
    </cfRule>
  </conditionalFormatting>
  <conditionalFormatting sqref="W34">
    <cfRule type="beginsWith" dxfId="78" priority="78" operator="beginsWith" text="NA">
      <formula>LEFT(W34,LEN("NA"))="NA"</formula>
    </cfRule>
  </conditionalFormatting>
  <conditionalFormatting sqref="X34:Z34">
    <cfRule type="beginsWith" dxfId="77" priority="77" operator="beginsWith" text="NA">
      <formula>LEFT(X34,LEN("NA"))="NA"</formula>
    </cfRule>
  </conditionalFormatting>
  <conditionalFormatting sqref="W36">
    <cfRule type="beginsWith" dxfId="76" priority="76" operator="beginsWith" text="NA">
      <formula>LEFT(W36,LEN("NA"))="NA"</formula>
    </cfRule>
  </conditionalFormatting>
  <conditionalFormatting sqref="X36:Z36">
    <cfRule type="beginsWith" dxfId="75" priority="75" operator="beginsWith" text="NA">
      <formula>LEFT(X36,LEN("NA"))="NA"</formula>
    </cfRule>
  </conditionalFormatting>
  <conditionalFormatting sqref="W38">
    <cfRule type="beginsWith" dxfId="74" priority="74" operator="beginsWith" text="NA">
      <formula>LEFT(W38,LEN("NA"))="NA"</formula>
    </cfRule>
  </conditionalFormatting>
  <conditionalFormatting sqref="X38:Z38">
    <cfRule type="beginsWith" dxfId="73" priority="73" operator="beginsWith" text="NA">
      <formula>LEFT(X38,LEN("NA"))="NA"</formula>
    </cfRule>
  </conditionalFormatting>
  <conditionalFormatting sqref="W40">
    <cfRule type="beginsWith" dxfId="72" priority="72" operator="beginsWith" text="NA">
      <formula>LEFT(W40,LEN("NA"))="NA"</formula>
    </cfRule>
  </conditionalFormatting>
  <conditionalFormatting sqref="X40:Z40">
    <cfRule type="beginsWith" dxfId="71" priority="71" operator="beginsWith" text="NA">
      <formula>LEFT(X40,LEN("NA"))="NA"</formula>
    </cfRule>
  </conditionalFormatting>
  <conditionalFormatting sqref="W42">
    <cfRule type="beginsWith" dxfId="70" priority="70" operator="beginsWith" text="NA">
      <formula>LEFT(W42,LEN("NA"))="NA"</formula>
    </cfRule>
  </conditionalFormatting>
  <conditionalFormatting sqref="X42:Z42">
    <cfRule type="beginsWith" dxfId="69" priority="69" operator="beginsWith" text="NA">
      <formula>LEFT(X42,LEN("NA"))="NA"</formula>
    </cfRule>
  </conditionalFormatting>
  <conditionalFormatting sqref="W44">
    <cfRule type="beginsWith" dxfId="68" priority="68" operator="beginsWith" text="NA">
      <formula>LEFT(W44,LEN("NA"))="NA"</formula>
    </cfRule>
  </conditionalFormatting>
  <conditionalFormatting sqref="X44:Z44">
    <cfRule type="beginsWith" dxfId="67" priority="67" operator="beginsWith" text="NA">
      <formula>LEFT(X44,LEN("NA"))="NA"</formula>
    </cfRule>
  </conditionalFormatting>
  <conditionalFormatting sqref="W46">
    <cfRule type="beginsWith" dxfId="66" priority="66" operator="beginsWith" text="NA">
      <formula>LEFT(W46,LEN("NA"))="NA"</formula>
    </cfRule>
  </conditionalFormatting>
  <conditionalFormatting sqref="X46:Z46">
    <cfRule type="beginsWith" dxfId="65" priority="65" operator="beginsWith" text="NA">
      <formula>LEFT(X46,LEN("NA"))="NA"</formula>
    </cfRule>
  </conditionalFormatting>
  <conditionalFormatting sqref="W48">
    <cfRule type="beginsWith" dxfId="64" priority="64" operator="beginsWith" text="NA">
      <formula>LEFT(W48,LEN("NA"))="NA"</formula>
    </cfRule>
  </conditionalFormatting>
  <conditionalFormatting sqref="X48:Z48">
    <cfRule type="beginsWith" dxfId="63" priority="63" operator="beginsWith" text="NA">
      <formula>LEFT(X48,LEN("NA"))="NA"</formula>
    </cfRule>
  </conditionalFormatting>
  <conditionalFormatting sqref="W50">
    <cfRule type="beginsWith" dxfId="62" priority="62" operator="beginsWith" text="NA">
      <formula>LEFT(W50,LEN("NA"))="NA"</formula>
    </cfRule>
  </conditionalFormatting>
  <conditionalFormatting sqref="X50:Z50">
    <cfRule type="beginsWith" dxfId="61" priority="61" operator="beginsWith" text="NA">
      <formula>LEFT(X50,LEN("NA"))="NA"</formula>
    </cfRule>
  </conditionalFormatting>
  <conditionalFormatting sqref="W52">
    <cfRule type="beginsWith" dxfId="60" priority="60" operator="beginsWith" text="NA">
      <formula>LEFT(W52,LEN("NA"))="NA"</formula>
    </cfRule>
  </conditionalFormatting>
  <conditionalFormatting sqref="X52:Z52">
    <cfRule type="beginsWith" dxfId="59" priority="59" operator="beginsWith" text="NA">
      <formula>LEFT(X52,LEN("NA"))="NA"</formula>
    </cfRule>
  </conditionalFormatting>
  <conditionalFormatting sqref="W54">
    <cfRule type="beginsWith" dxfId="58" priority="58" operator="beginsWith" text="NA">
      <formula>LEFT(W54,LEN("NA"))="NA"</formula>
    </cfRule>
  </conditionalFormatting>
  <conditionalFormatting sqref="X54:Z54">
    <cfRule type="beginsWith" dxfId="57" priority="57" operator="beginsWith" text="NA">
      <formula>LEFT(X54,LEN("NA"))="NA"</formula>
    </cfRule>
  </conditionalFormatting>
  <conditionalFormatting sqref="W56">
    <cfRule type="beginsWith" dxfId="56" priority="56" operator="beginsWith" text="NA">
      <formula>LEFT(W56,LEN("NA"))="NA"</formula>
    </cfRule>
  </conditionalFormatting>
  <conditionalFormatting sqref="X56:Z56">
    <cfRule type="beginsWith" dxfId="55" priority="55" operator="beginsWith" text="NA">
      <formula>LEFT(X56,LEN("NA"))="NA"</formula>
    </cfRule>
  </conditionalFormatting>
  <conditionalFormatting sqref="W58">
    <cfRule type="beginsWith" dxfId="54" priority="54" operator="beginsWith" text="NA">
      <formula>LEFT(W58,LEN("NA"))="NA"</formula>
    </cfRule>
  </conditionalFormatting>
  <conditionalFormatting sqref="X58:Z58">
    <cfRule type="beginsWith" dxfId="53" priority="53" operator="beginsWith" text="NA">
      <formula>LEFT(X58,LEN("NA"))="NA"</formula>
    </cfRule>
  </conditionalFormatting>
  <conditionalFormatting sqref="W60">
    <cfRule type="beginsWith" dxfId="52" priority="52" operator="beginsWith" text="NA">
      <formula>LEFT(W60,LEN("NA"))="NA"</formula>
    </cfRule>
  </conditionalFormatting>
  <conditionalFormatting sqref="X60:Z60">
    <cfRule type="beginsWith" dxfId="51" priority="51" operator="beginsWith" text="NA">
      <formula>LEFT(X60,LEN("NA"))="NA"</formula>
    </cfRule>
  </conditionalFormatting>
  <conditionalFormatting sqref="W62">
    <cfRule type="beginsWith" dxfId="50" priority="50" operator="beginsWith" text="NA">
      <formula>LEFT(W62,LEN("NA"))="NA"</formula>
    </cfRule>
  </conditionalFormatting>
  <conditionalFormatting sqref="X62:Z62">
    <cfRule type="beginsWith" dxfId="49" priority="49" operator="beginsWith" text="NA">
      <formula>LEFT(X62,LEN("NA"))="NA"</formula>
    </cfRule>
  </conditionalFormatting>
  <conditionalFormatting sqref="W64">
    <cfRule type="beginsWith" dxfId="48" priority="48" operator="beginsWith" text="NA">
      <formula>LEFT(W64,LEN("NA"))="NA"</formula>
    </cfRule>
  </conditionalFormatting>
  <conditionalFormatting sqref="X64:Z64">
    <cfRule type="beginsWith" dxfId="47" priority="47" operator="beginsWith" text="NA">
      <formula>LEFT(X64,LEN("NA"))="NA"</formula>
    </cfRule>
  </conditionalFormatting>
  <conditionalFormatting sqref="W66">
    <cfRule type="beginsWith" dxfId="46" priority="46" operator="beginsWith" text="NA">
      <formula>LEFT(W66,LEN("NA"))="NA"</formula>
    </cfRule>
  </conditionalFormatting>
  <conditionalFormatting sqref="X66:Z66">
    <cfRule type="beginsWith" dxfId="45" priority="45" operator="beginsWith" text="NA">
      <formula>LEFT(X66,LEN("NA"))="NA"</formula>
    </cfRule>
  </conditionalFormatting>
  <conditionalFormatting sqref="W68">
    <cfRule type="beginsWith" dxfId="44" priority="44" operator="beginsWith" text="NA">
      <formula>LEFT(W68,LEN("NA"))="NA"</formula>
    </cfRule>
  </conditionalFormatting>
  <conditionalFormatting sqref="X68:Z68">
    <cfRule type="beginsWith" dxfId="43" priority="43" operator="beginsWith" text="NA">
      <formula>LEFT(X68,LEN("NA"))="NA"</formula>
    </cfRule>
  </conditionalFormatting>
  <conditionalFormatting sqref="W70">
    <cfRule type="beginsWith" dxfId="42" priority="42" operator="beginsWith" text="NA">
      <formula>LEFT(W70,LEN("NA"))="NA"</formula>
    </cfRule>
  </conditionalFormatting>
  <conditionalFormatting sqref="X70:Z70">
    <cfRule type="beginsWith" dxfId="41" priority="41" operator="beginsWith" text="NA">
      <formula>LEFT(X70,LEN("NA"))="NA"</formula>
    </cfRule>
  </conditionalFormatting>
  <conditionalFormatting sqref="W72">
    <cfRule type="beginsWith" dxfId="40" priority="40" operator="beginsWith" text="NA">
      <formula>LEFT(W72,LEN("NA"))="NA"</formula>
    </cfRule>
  </conditionalFormatting>
  <conditionalFormatting sqref="X72:Z72">
    <cfRule type="beginsWith" dxfId="39" priority="39" operator="beginsWith" text="NA">
      <formula>LEFT(X72,LEN("NA"))="NA"</formula>
    </cfRule>
  </conditionalFormatting>
  <conditionalFormatting sqref="W74">
    <cfRule type="beginsWith" dxfId="38" priority="38" operator="beginsWith" text="NA">
      <formula>LEFT(W74,LEN("NA"))="NA"</formula>
    </cfRule>
  </conditionalFormatting>
  <conditionalFormatting sqref="X74:Z74">
    <cfRule type="beginsWith" dxfId="37" priority="37" operator="beginsWith" text="NA">
      <formula>LEFT(X74,LEN("NA"))="NA"</formula>
    </cfRule>
  </conditionalFormatting>
  <conditionalFormatting sqref="W76">
    <cfRule type="beginsWith" dxfId="36" priority="36" operator="beginsWith" text="NA">
      <formula>LEFT(W76,LEN("NA"))="NA"</formula>
    </cfRule>
  </conditionalFormatting>
  <conditionalFormatting sqref="X76:Z76">
    <cfRule type="beginsWith" dxfId="35" priority="35" operator="beginsWith" text="NA">
      <formula>LEFT(X76,LEN("NA"))="NA"</formula>
    </cfRule>
  </conditionalFormatting>
  <conditionalFormatting sqref="W78">
    <cfRule type="beginsWith" dxfId="34" priority="34" operator="beginsWith" text="NA">
      <formula>LEFT(W78,LEN("NA"))="NA"</formula>
    </cfRule>
  </conditionalFormatting>
  <conditionalFormatting sqref="X78:Z78">
    <cfRule type="beginsWith" dxfId="33" priority="33" operator="beginsWith" text="NA">
      <formula>LEFT(X78,LEN("NA"))="NA"</formula>
    </cfRule>
  </conditionalFormatting>
  <conditionalFormatting sqref="W80">
    <cfRule type="beginsWith" dxfId="32" priority="32" operator="beginsWith" text="NA">
      <formula>LEFT(W80,LEN("NA"))="NA"</formula>
    </cfRule>
  </conditionalFormatting>
  <conditionalFormatting sqref="X80:Z80">
    <cfRule type="beginsWith" dxfId="31" priority="31" operator="beginsWith" text="NA">
      <formula>LEFT(X80,LEN("NA"))="NA"</formula>
    </cfRule>
  </conditionalFormatting>
  <conditionalFormatting sqref="W82">
    <cfRule type="beginsWith" dxfId="30" priority="30" operator="beginsWith" text="NA">
      <formula>LEFT(W82,LEN("NA"))="NA"</formula>
    </cfRule>
  </conditionalFormatting>
  <conditionalFormatting sqref="X82:Z82">
    <cfRule type="beginsWith" dxfId="29" priority="29" operator="beginsWith" text="NA">
      <formula>LEFT(X82,LEN("NA"))="NA"</formula>
    </cfRule>
  </conditionalFormatting>
  <conditionalFormatting sqref="W84">
    <cfRule type="beginsWith" dxfId="28" priority="28" operator="beginsWith" text="NA">
      <formula>LEFT(W84,LEN("NA"))="NA"</formula>
    </cfRule>
  </conditionalFormatting>
  <conditionalFormatting sqref="X84:Z84">
    <cfRule type="beginsWith" dxfId="27" priority="27" operator="beginsWith" text="NA">
      <formula>LEFT(X84,LEN("NA"))="NA"</formula>
    </cfRule>
  </conditionalFormatting>
  <conditionalFormatting sqref="W86">
    <cfRule type="beginsWith" dxfId="26" priority="26" operator="beginsWith" text="NA">
      <formula>LEFT(W86,LEN("NA"))="NA"</formula>
    </cfRule>
  </conditionalFormatting>
  <conditionalFormatting sqref="X86:Z86">
    <cfRule type="beginsWith" dxfId="25" priority="25" operator="beginsWith" text="NA">
      <formula>LEFT(X86,LEN("NA"))="NA"</formula>
    </cfRule>
  </conditionalFormatting>
  <conditionalFormatting sqref="W88">
    <cfRule type="beginsWith" dxfId="24" priority="24" operator="beginsWith" text="NA">
      <formula>LEFT(W88,LEN("NA"))="NA"</formula>
    </cfRule>
  </conditionalFormatting>
  <conditionalFormatting sqref="X88:Z88">
    <cfRule type="beginsWith" dxfId="23" priority="23" operator="beginsWith" text="NA">
      <formula>LEFT(X88,LEN("NA"))="NA"</formula>
    </cfRule>
  </conditionalFormatting>
  <conditionalFormatting sqref="W90">
    <cfRule type="beginsWith" dxfId="22" priority="22" operator="beginsWith" text="NA">
      <formula>LEFT(W90,LEN("NA"))="NA"</formula>
    </cfRule>
  </conditionalFormatting>
  <conditionalFormatting sqref="X90:Z90">
    <cfRule type="beginsWith" dxfId="21" priority="21" operator="beginsWith" text="NA">
      <formula>LEFT(X90,LEN("NA"))="NA"</formula>
    </cfRule>
  </conditionalFormatting>
  <conditionalFormatting sqref="W92">
    <cfRule type="beginsWith" dxfId="20" priority="20" operator="beginsWith" text="NA">
      <formula>LEFT(W92,LEN("NA"))="NA"</formula>
    </cfRule>
  </conditionalFormatting>
  <conditionalFormatting sqref="X92:Z92">
    <cfRule type="beginsWith" dxfId="19" priority="19" operator="beginsWith" text="NA">
      <formula>LEFT(X92,LEN("NA"))="NA"</formula>
    </cfRule>
  </conditionalFormatting>
  <conditionalFormatting sqref="W94">
    <cfRule type="beginsWith" dxfId="18" priority="18" operator="beginsWith" text="NA">
      <formula>LEFT(W94,LEN("NA"))="NA"</formula>
    </cfRule>
  </conditionalFormatting>
  <conditionalFormatting sqref="X94:Z94">
    <cfRule type="beginsWith" dxfId="17" priority="17" operator="beginsWith" text="NA">
      <formula>LEFT(X94,LEN("NA"))="NA"</formula>
    </cfRule>
  </conditionalFormatting>
  <conditionalFormatting sqref="W96">
    <cfRule type="beginsWith" dxfId="16" priority="16" operator="beginsWith" text="NA">
      <formula>LEFT(W96,LEN("NA"))="NA"</formula>
    </cfRule>
  </conditionalFormatting>
  <conditionalFormatting sqref="X96:Z96">
    <cfRule type="beginsWith" dxfId="15" priority="15" operator="beginsWith" text="NA">
      <formula>LEFT(X96,LEN("NA"))="NA"</formula>
    </cfRule>
  </conditionalFormatting>
  <conditionalFormatting sqref="W98">
    <cfRule type="beginsWith" dxfId="14" priority="14" operator="beginsWith" text="NA">
      <formula>LEFT(W98,LEN("NA"))="NA"</formula>
    </cfRule>
  </conditionalFormatting>
  <conditionalFormatting sqref="X98:Z98">
    <cfRule type="beginsWith" dxfId="13" priority="13" operator="beginsWith" text="NA">
      <formula>LEFT(X98,LEN("NA"))="NA"</formula>
    </cfRule>
  </conditionalFormatting>
  <conditionalFormatting sqref="W100">
    <cfRule type="beginsWith" dxfId="12" priority="12" operator="beginsWith" text="NA">
      <formula>LEFT(W100,LEN("NA"))="NA"</formula>
    </cfRule>
  </conditionalFormatting>
  <conditionalFormatting sqref="X100:Z100">
    <cfRule type="beginsWith" dxfId="11" priority="11" operator="beginsWith" text="NA">
      <formula>LEFT(X100,LEN("NA"))="NA"</formula>
    </cfRule>
  </conditionalFormatting>
  <conditionalFormatting sqref="W102">
    <cfRule type="beginsWith" dxfId="10" priority="10" operator="beginsWith" text="NA">
      <formula>LEFT(W102,LEN("NA"))="NA"</formula>
    </cfRule>
  </conditionalFormatting>
  <conditionalFormatting sqref="X102:Z102">
    <cfRule type="beginsWith" dxfId="9" priority="9" operator="beginsWith" text="NA">
      <formula>LEFT(X102,LEN("NA"))="NA"</formula>
    </cfRule>
  </conditionalFormatting>
  <conditionalFormatting sqref="W104">
    <cfRule type="beginsWith" dxfId="8" priority="8" operator="beginsWith" text="NA">
      <formula>LEFT(W104,LEN("NA"))="NA"</formula>
    </cfRule>
  </conditionalFormatting>
  <conditionalFormatting sqref="X104:Z104">
    <cfRule type="beginsWith" dxfId="7" priority="7" operator="beginsWith" text="NA">
      <formula>LEFT(X104,LEN("NA"))="NA"</formula>
    </cfRule>
  </conditionalFormatting>
  <conditionalFormatting sqref="W106">
    <cfRule type="beginsWith" dxfId="6" priority="6" operator="beginsWith" text="NA">
      <formula>LEFT(W106,LEN("NA"))="NA"</formula>
    </cfRule>
  </conditionalFormatting>
  <conditionalFormatting sqref="X106:Z106">
    <cfRule type="beginsWith" dxfId="5" priority="5" operator="beginsWith" text="NA">
      <formula>LEFT(X106,LEN("NA"))="NA"</formula>
    </cfRule>
  </conditionalFormatting>
  <conditionalFormatting sqref="W108">
    <cfRule type="beginsWith" dxfId="4" priority="4" operator="beginsWith" text="NA">
      <formula>LEFT(W108,LEN("NA"))="NA"</formula>
    </cfRule>
  </conditionalFormatting>
  <conditionalFormatting sqref="X108:Z108">
    <cfRule type="beginsWith" dxfId="3" priority="3" operator="beginsWith" text="NA">
      <formula>LEFT(X108,LEN("NA"))="NA"</formula>
    </cfRule>
  </conditionalFormatting>
  <conditionalFormatting sqref="Q176:R226">
    <cfRule type="beginsWith" dxfId="2" priority="2" operator="beginsWith" text="NA">
      <formula>LEFT(Q176,LEN("NA"))="NA"</formula>
    </cfRule>
  </conditionalFormatting>
  <conditionalFormatting sqref="Y120:Z170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4A21-5989-4B2F-B373-BFC95F062B28}">
  <dimension ref="A1:W52"/>
  <sheetViews>
    <sheetView topLeftCell="A13" zoomScale="70" zoomScaleNormal="70" workbookViewId="0">
      <selection activeCell="C44" sqref="C44:C52"/>
    </sheetView>
  </sheetViews>
  <sheetFormatPr baseColWidth="10" defaultRowHeight="14.5" x14ac:dyDescent="0.35"/>
  <sheetData>
    <row r="1" spans="1:23" x14ac:dyDescent="0.35">
      <c r="A1" s="12" t="s">
        <v>22</v>
      </c>
      <c r="B1" s="29" t="s">
        <v>39</v>
      </c>
      <c r="C1" s="29" t="s">
        <v>40</v>
      </c>
      <c r="D1" s="29" t="s">
        <v>41</v>
      </c>
      <c r="E1" s="29" t="s">
        <v>45</v>
      </c>
      <c r="F1" s="7" t="s">
        <v>23</v>
      </c>
      <c r="G1" s="7" t="s">
        <v>24</v>
      </c>
      <c r="H1" s="8" t="s">
        <v>25</v>
      </c>
      <c r="I1" s="8" t="s">
        <v>26</v>
      </c>
      <c r="J1" s="9" t="s">
        <v>27</v>
      </c>
      <c r="K1" s="9" t="s">
        <v>28</v>
      </c>
      <c r="L1" s="10" t="s">
        <v>29</v>
      </c>
      <c r="M1" s="10" t="s">
        <v>30</v>
      </c>
      <c r="N1" s="11" t="s">
        <v>31</v>
      </c>
      <c r="O1" s="11" t="s">
        <v>32</v>
      </c>
      <c r="P1" s="15" t="s">
        <v>33</v>
      </c>
      <c r="Q1" s="15" t="s">
        <v>34</v>
      </c>
      <c r="R1" s="13" t="s">
        <v>18</v>
      </c>
      <c r="S1" s="13" t="s">
        <v>19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35">
      <c r="A2" s="17">
        <v>1</v>
      </c>
      <c r="B2" s="30" t="s">
        <v>42</v>
      </c>
      <c r="C2" s="14" t="s">
        <v>43</v>
      </c>
      <c r="D2" s="14" t="s">
        <v>43</v>
      </c>
      <c r="E2" s="14" t="s">
        <v>43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35">
      <c r="A3" s="17">
        <v>2</v>
      </c>
      <c r="B3" s="30" t="s">
        <v>42</v>
      </c>
      <c r="C3" s="14" t="s">
        <v>43</v>
      </c>
      <c r="D3" s="14" t="s">
        <v>43</v>
      </c>
      <c r="E3" s="14" t="s">
        <v>43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35">
      <c r="A4" s="17">
        <v>3</v>
      </c>
      <c r="B4" s="30" t="s">
        <v>42</v>
      </c>
      <c r="C4" s="14" t="s">
        <v>43</v>
      </c>
      <c r="D4" s="14" t="s">
        <v>43</v>
      </c>
      <c r="E4" s="14" t="s">
        <v>43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x14ac:dyDescent="0.35">
      <c r="A5" s="17">
        <v>4</v>
      </c>
      <c r="B5" s="30" t="s">
        <v>42</v>
      </c>
      <c r="C5" s="14" t="s">
        <v>43</v>
      </c>
      <c r="D5" s="14" t="s">
        <v>43</v>
      </c>
      <c r="E5" s="14" t="s">
        <v>43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x14ac:dyDescent="0.35">
      <c r="A6" s="17">
        <v>5</v>
      </c>
      <c r="B6" s="30" t="s">
        <v>42</v>
      </c>
      <c r="C6" s="14" t="s">
        <v>43</v>
      </c>
      <c r="D6" s="14" t="s">
        <v>43</v>
      </c>
      <c r="E6" s="14" t="s">
        <v>43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35">
      <c r="A7" s="17">
        <v>6</v>
      </c>
      <c r="B7" s="4" t="s">
        <v>44</v>
      </c>
      <c r="C7" s="14" t="s">
        <v>43</v>
      </c>
      <c r="D7" s="14" t="s">
        <v>43</v>
      </c>
      <c r="E7" s="14" t="s">
        <v>43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x14ac:dyDescent="0.35">
      <c r="A8" s="17">
        <v>7</v>
      </c>
      <c r="B8" s="4" t="s">
        <v>44</v>
      </c>
      <c r="C8" s="14" t="s">
        <v>43</v>
      </c>
      <c r="D8" s="14" t="s">
        <v>43</v>
      </c>
      <c r="E8" s="14" t="s">
        <v>43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35">
      <c r="A9" s="17">
        <v>8</v>
      </c>
      <c r="B9" s="4" t="s">
        <v>44</v>
      </c>
      <c r="C9" s="14" t="s">
        <v>43</v>
      </c>
      <c r="D9" s="14" t="s">
        <v>43</v>
      </c>
      <c r="E9" s="14" t="s">
        <v>43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35">
      <c r="A10" s="17">
        <v>9</v>
      </c>
      <c r="B10" s="4" t="s">
        <v>44</v>
      </c>
      <c r="C10" s="14" t="s">
        <v>43</v>
      </c>
      <c r="D10" s="14" t="s">
        <v>43</v>
      </c>
      <c r="E10" s="14" t="s">
        <v>43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x14ac:dyDescent="0.35">
      <c r="A11" s="17">
        <v>10</v>
      </c>
      <c r="B11" s="4" t="s">
        <v>44</v>
      </c>
      <c r="C11" s="14" t="s">
        <v>43</v>
      </c>
      <c r="D11" s="14" t="s">
        <v>43</v>
      </c>
      <c r="E11" s="14" t="s">
        <v>43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x14ac:dyDescent="0.35">
      <c r="A12" s="17">
        <v>11</v>
      </c>
      <c r="B12" s="1" t="s">
        <v>46</v>
      </c>
      <c r="C12" s="14" t="s">
        <v>43</v>
      </c>
      <c r="D12" s="14" t="s">
        <v>43</v>
      </c>
      <c r="E12" s="14" t="s">
        <v>43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35">
      <c r="A13" s="17">
        <v>12</v>
      </c>
      <c r="B13" s="1" t="s">
        <v>46</v>
      </c>
      <c r="C13" s="14" t="s">
        <v>43</v>
      </c>
      <c r="D13" s="14" t="s">
        <v>43</v>
      </c>
      <c r="E13" s="14" t="s">
        <v>43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x14ac:dyDescent="0.35">
      <c r="A14" s="17">
        <v>13</v>
      </c>
      <c r="B14" s="1" t="s">
        <v>46</v>
      </c>
      <c r="C14" s="14" t="s">
        <v>43</v>
      </c>
      <c r="D14" s="14" t="s">
        <v>43</v>
      </c>
      <c r="E14" s="14" t="s">
        <v>43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x14ac:dyDescent="0.35">
      <c r="A15" s="17">
        <v>14</v>
      </c>
      <c r="B15" s="1" t="s">
        <v>46</v>
      </c>
      <c r="C15" s="14" t="s">
        <v>43</v>
      </c>
      <c r="D15" s="14" t="s">
        <v>43</v>
      </c>
      <c r="E15" s="14" t="s">
        <v>43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x14ac:dyDescent="0.35">
      <c r="A16" s="17">
        <v>15</v>
      </c>
      <c r="B16" s="1" t="s">
        <v>46</v>
      </c>
      <c r="C16" s="14" t="s">
        <v>43</v>
      </c>
      <c r="D16" s="14" t="s">
        <v>43</v>
      </c>
      <c r="E16" s="14" t="s">
        <v>43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x14ac:dyDescent="0.35">
      <c r="A17" s="17">
        <v>16</v>
      </c>
      <c r="B17" s="30" t="s">
        <v>42</v>
      </c>
      <c r="C17" s="32" t="s">
        <v>47</v>
      </c>
      <c r="D17" s="32" t="s">
        <v>43</v>
      </c>
      <c r="E17" s="32" t="s">
        <v>47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x14ac:dyDescent="0.35">
      <c r="A18" s="17">
        <v>17</v>
      </c>
      <c r="B18" s="30" t="s">
        <v>42</v>
      </c>
      <c r="C18" s="32" t="s">
        <v>47</v>
      </c>
      <c r="D18" s="32" t="s">
        <v>43</v>
      </c>
      <c r="E18" s="32" t="s">
        <v>47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35">
      <c r="A19" s="17">
        <v>18</v>
      </c>
      <c r="B19" s="30" t="s">
        <v>42</v>
      </c>
      <c r="C19" s="32" t="s">
        <v>47</v>
      </c>
      <c r="D19" s="32" t="s">
        <v>43</v>
      </c>
      <c r="E19" s="32" t="s">
        <v>47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35">
      <c r="A20" s="17">
        <v>19</v>
      </c>
      <c r="B20" s="4" t="s">
        <v>44</v>
      </c>
      <c r="C20" s="32" t="s">
        <v>47</v>
      </c>
      <c r="D20" s="32" t="s">
        <v>43</v>
      </c>
      <c r="E20" s="32" t="s">
        <v>47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x14ac:dyDescent="0.35">
      <c r="A21" s="17">
        <v>20</v>
      </c>
      <c r="B21" s="4" t="s">
        <v>44</v>
      </c>
      <c r="C21" s="32" t="s">
        <v>47</v>
      </c>
      <c r="D21" s="32" t="s">
        <v>43</v>
      </c>
      <c r="E21" s="32" t="s">
        <v>47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x14ac:dyDescent="0.35">
      <c r="A22" s="17">
        <v>21</v>
      </c>
      <c r="B22" s="4" t="s">
        <v>44</v>
      </c>
      <c r="C22" s="32" t="s">
        <v>47</v>
      </c>
      <c r="D22" s="32" t="s">
        <v>43</v>
      </c>
      <c r="E22" s="32" t="s">
        <v>47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5">
      <c r="A23" s="17">
        <v>22</v>
      </c>
      <c r="B23" s="1" t="s">
        <v>46</v>
      </c>
      <c r="C23" s="32" t="s">
        <v>47</v>
      </c>
      <c r="D23" s="32" t="s">
        <v>43</v>
      </c>
      <c r="E23" s="32" t="s">
        <v>47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x14ac:dyDescent="0.35">
      <c r="A24" s="17">
        <v>23</v>
      </c>
      <c r="B24" s="1" t="s">
        <v>46</v>
      </c>
      <c r="C24" s="32" t="s">
        <v>47</v>
      </c>
      <c r="D24" s="32" t="s">
        <v>43</v>
      </c>
      <c r="E24" s="32" t="s">
        <v>47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x14ac:dyDescent="0.35">
      <c r="A25" s="17">
        <v>24</v>
      </c>
      <c r="B25" s="1" t="s">
        <v>46</v>
      </c>
      <c r="C25" s="32" t="s">
        <v>47</v>
      </c>
      <c r="D25" s="32" t="s">
        <v>43</v>
      </c>
      <c r="E25" s="32" t="s">
        <v>47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x14ac:dyDescent="0.35">
      <c r="A26" s="17">
        <v>25</v>
      </c>
      <c r="B26" s="30" t="s">
        <v>42</v>
      </c>
      <c r="C26" s="33" t="s">
        <v>43</v>
      </c>
      <c r="D26" s="33" t="s">
        <v>43</v>
      </c>
      <c r="E26" s="33" t="s">
        <v>47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x14ac:dyDescent="0.35">
      <c r="A27" s="17">
        <v>26</v>
      </c>
      <c r="B27" s="30" t="s">
        <v>42</v>
      </c>
      <c r="C27" s="33" t="s">
        <v>43</v>
      </c>
      <c r="D27" s="33" t="s">
        <v>43</v>
      </c>
      <c r="E27" s="33" t="s">
        <v>47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x14ac:dyDescent="0.35">
      <c r="A28" s="17">
        <v>27</v>
      </c>
      <c r="B28" s="30" t="s">
        <v>42</v>
      </c>
      <c r="C28" s="33" t="s">
        <v>43</v>
      </c>
      <c r="D28" s="33" t="s">
        <v>43</v>
      </c>
      <c r="E28" s="33" t="s">
        <v>47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x14ac:dyDescent="0.35">
      <c r="A29" s="17">
        <v>28</v>
      </c>
      <c r="B29" s="4" t="s">
        <v>44</v>
      </c>
      <c r="C29" s="33" t="s">
        <v>43</v>
      </c>
      <c r="D29" s="33" t="s">
        <v>43</v>
      </c>
      <c r="E29" s="33" t="s">
        <v>47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35">
      <c r="A30" s="17">
        <v>29</v>
      </c>
      <c r="B30" s="4" t="s">
        <v>44</v>
      </c>
      <c r="C30" s="33" t="s">
        <v>43</v>
      </c>
      <c r="D30" s="33" t="s">
        <v>43</v>
      </c>
      <c r="E30" s="33" t="s">
        <v>47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x14ac:dyDescent="0.35">
      <c r="A31" s="17">
        <v>30</v>
      </c>
      <c r="B31" s="4" t="s">
        <v>44</v>
      </c>
      <c r="C31" s="33" t="s">
        <v>43</v>
      </c>
      <c r="D31" s="33" t="s">
        <v>43</v>
      </c>
      <c r="E31" s="33" t="s">
        <v>47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x14ac:dyDescent="0.35">
      <c r="A32" s="17">
        <v>31</v>
      </c>
      <c r="B32" s="1" t="s">
        <v>46</v>
      </c>
      <c r="C32" s="33" t="s">
        <v>43</v>
      </c>
      <c r="D32" s="33" t="s">
        <v>43</v>
      </c>
      <c r="E32" s="33" t="s">
        <v>47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x14ac:dyDescent="0.35">
      <c r="A33" s="17">
        <v>32</v>
      </c>
      <c r="B33" s="1" t="s">
        <v>46</v>
      </c>
      <c r="C33" s="33" t="s">
        <v>43</v>
      </c>
      <c r="D33" s="33" t="s">
        <v>43</v>
      </c>
      <c r="E33" s="33" t="s">
        <v>47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x14ac:dyDescent="0.35">
      <c r="A34" s="17">
        <v>33</v>
      </c>
      <c r="B34" s="1" t="s">
        <v>46</v>
      </c>
      <c r="C34" s="33" t="s">
        <v>43</v>
      </c>
      <c r="D34" s="33" t="s">
        <v>43</v>
      </c>
      <c r="E34" s="33" t="s">
        <v>47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 x14ac:dyDescent="0.35">
      <c r="A35" s="17">
        <v>34</v>
      </c>
      <c r="B35" s="30" t="s">
        <v>42</v>
      </c>
      <c r="C35" s="34" t="s">
        <v>43</v>
      </c>
      <c r="D35" s="34" t="s">
        <v>47</v>
      </c>
      <c r="E35" s="34" t="s">
        <v>47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x14ac:dyDescent="0.35">
      <c r="A36" s="17">
        <v>35</v>
      </c>
      <c r="B36" s="30" t="s">
        <v>42</v>
      </c>
      <c r="C36" s="34" t="s">
        <v>43</v>
      </c>
      <c r="D36" s="34" t="s">
        <v>47</v>
      </c>
      <c r="E36" s="34" t="s">
        <v>47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17">
        <v>36</v>
      </c>
      <c r="B37" s="30" t="s">
        <v>42</v>
      </c>
      <c r="C37" s="34" t="s">
        <v>43</v>
      </c>
      <c r="D37" s="34" t="s">
        <v>47</v>
      </c>
      <c r="E37" s="34" t="s">
        <v>47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17">
        <v>37</v>
      </c>
      <c r="B38" s="4" t="s">
        <v>44</v>
      </c>
      <c r="C38" s="34" t="s">
        <v>43</v>
      </c>
      <c r="D38" s="34" t="s">
        <v>47</v>
      </c>
      <c r="E38" s="34" t="s">
        <v>47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17">
        <v>38</v>
      </c>
      <c r="B39" s="4" t="s">
        <v>44</v>
      </c>
      <c r="C39" s="34" t="s">
        <v>43</v>
      </c>
      <c r="D39" s="34" t="s">
        <v>47</v>
      </c>
      <c r="E39" s="34" t="s">
        <v>47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17">
        <v>39</v>
      </c>
      <c r="B40" s="4" t="s">
        <v>44</v>
      </c>
      <c r="C40" s="34" t="s">
        <v>43</v>
      </c>
      <c r="D40" s="34" t="s">
        <v>47</v>
      </c>
      <c r="E40" s="34" t="s">
        <v>47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17">
        <v>40</v>
      </c>
      <c r="B41" s="1" t="s">
        <v>46</v>
      </c>
      <c r="C41" s="34" t="s">
        <v>43</v>
      </c>
      <c r="D41" s="34" t="s">
        <v>47</v>
      </c>
      <c r="E41" s="34" t="s">
        <v>47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17">
        <v>41</v>
      </c>
      <c r="B42" s="1" t="s">
        <v>46</v>
      </c>
      <c r="C42" s="34" t="s">
        <v>43</v>
      </c>
      <c r="D42" s="34" t="s">
        <v>47</v>
      </c>
      <c r="E42" s="34" t="s">
        <v>47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17">
        <v>42</v>
      </c>
      <c r="B43" s="1" t="s">
        <v>46</v>
      </c>
      <c r="C43" s="34" t="s">
        <v>43</v>
      </c>
      <c r="D43" s="34" t="s">
        <v>47</v>
      </c>
      <c r="E43" s="34" t="s">
        <v>47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5">
      <c r="A44" s="17">
        <v>43</v>
      </c>
      <c r="B44" s="30" t="s">
        <v>42</v>
      </c>
      <c r="C44" s="33" t="s">
        <v>47</v>
      </c>
      <c r="D44" s="33" t="s">
        <v>43</v>
      </c>
      <c r="E44" s="33" t="s">
        <v>47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x14ac:dyDescent="0.35">
      <c r="A45" s="17">
        <v>44</v>
      </c>
      <c r="B45" s="30" t="s">
        <v>42</v>
      </c>
      <c r="C45" s="33" t="s">
        <v>47</v>
      </c>
      <c r="D45" s="33" t="s">
        <v>43</v>
      </c>
      <c r="E45" s="33" t="s">
        <v>47</v>
      </c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x14ac:dyDescent="0.35">
      <c r="A46" s="17">
        <v>45</v>
      </c>
      <c r="B46" s="30" t="s">
        <v>42</v>
      </c>
      <c r="C46" s="33" t="s">
        <v>47</v>
      </c>
      <c r="D46" s="33" t="s">
        <v>43</v>
      </c>
      <c r="E46" s="33" t="s">
        <v>47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3" x14ac:dyDescent="0.35">
      <c r="A47" s="17">
        <v>46</v>
      </c>
      <c r="B47" s="4" t="s">
        <v>44</v>
      </c>
      <c r="C47" s="33" t="s">
        <v>47</v>
      </c>
      <c r="D47" s="33" t="s">
        <v>43</v>
      </c>
      <c r="E47" s="33" t="s">
        <v>47</v>
      </c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 spans="1:23" x14ac:dyDescent="0.35">
      <c r="A48" s="17">
        <v>47</v>
      </c>
      <c r="B48" s="4" t="s">
        <v>44</v>
      </c>
      <c r="C48" s="33" t="s">
        <v>47</v>
      </c>
      <c r="D48" s="33" t="s">
        <v>43</v>
      </c>
      <c r="E48" s="33" t="s">
        <v>47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 x14ac:dyDescent="0.35">
      <c r="A49" s="17">
        <v>48</v>
      </c>
      <c r="B49" s="4" t="s">
        <v>44</v>
      </c>
      <c r="C49" s="33" t="s">
        <v>47</v>
      </c>
      <c r="D49" s="33" t="s">
        <v>43</v>
      </c>
      <c r="E49" s="33" t="s">
        <v>47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x14ac:dyDescent="0.35">
      <c r="A50" s="17">
        <v>49</v>
      </c>
      <c r="B50" s="1" t="s">
        <v>46</v>
      </c>
      <c r="C50" s="33" t="s">
        <v>47</v>
      </c>
      <c r="D50" s="33" t="s">
        <v>43</v>
      </c>
      <c r="E50" s="33" t="s">
        <v>47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x14ac:dyDescent="0.35">
      <c r="A51" s="17">
        <v>50</v>
      </c>
      <c r="B51" s="1" t="s">
        <v>46</v>
      </c>
      <c r="C51" s="33" t="s">
        <v>47</v>
      </c>
      <c r="D51" s="33" t="s">
        <v>43</v>
      </c>
      <c r="E51" s="33" t="s">
        <v>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x14ac:dyDescent="0.35">
      <c r="A52" s="17">
        <v>51</v>
      </c>
      <c r="B52" s="1" t="s">
        <v>46</v>
      </c>
      <c r="C52" s="33" t="s">
        <v>47</v>
      </c>
      <c r="D52" s="33" t="s">
        <v>43</v>
      </c>
      <c r="E52" s="33" t="s">
        <v>47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</sheetData>
  <conditionalFormatting sqref="F1:S1">
    <cfRule type="beginsWith" dxfId="0" priority="1" operator="beginsWith" text="NA">
      <formula>LEFT(F1,LEN("NA"))="NA"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8493-46E6-425B-8B9A-012059C1DD3A}">
  <dimension ref="B1:R8"/>
  <sheetViews>
    <sheetView showGridLines="0" tabSelected="1" workbookViewId="0">
      <selection activeCell="D12" sqref="D12"/>
    </sheetView>
  </sheetViews>
  <sheetFormatPr baseColWidth="10" defaultRowHeight="14.5" x14ac:dyDescent="0.35"/>
  <cols>
    <col min="2" max="2" width="19.36328125" bestFit="1" customWidth="1"/>
    <col min="3" max="3" width="10.08984375" customWidth="1"/>
    <col min="4" max="5" width="10.1796875" customWidth="1"/>
    <col min="6" max="6" width="10.08984375" customWidth="1"/>
    <col min="7" max="7" width="10.1796875" customWidth="1"/>
    <col min="8" max="8" width="10.08984375" customWidth="1"/>
    <col min="9" max="9" width="10.1796875" customWidth="1"/>
  </cols>
  <sheetData>
    <row r="1" spans="2:18" ht="15" thickBot="1" x14ac:dyDescent="0.4"/>
    <row r="2" spans="2:18" x14ac:dyDescent="0.35">
      <c r="B2" s="39"/>
      <c r="C2" s="40" t="s">
        <v>10</v>
      </c>
      <c r="D2" s="40" t="s">
        <v>49</v>
      </c>
      <c r="E2" s="40" t="s">
        <v>50</v>
      </c>
      <c r="F2" s="40" t="s">
        <v>51</v>
      </c>
      <c r="G2" s="40" t="s">
        <v>52</v>
      </c>
      <c r="H2" s="40" t="s">
        <v>53</v>
      </c>
      <c r="I2" s="40" t="s">
        <v>11</v>
      </c>
      <c r="L2" s="93"/>
      <c r="M2" s="93"/>
      <c r="N2" s="94"/>
      <c r="O2" s="94"/>
      <c r="P2" s="94"/>
      <c r="Q2" s="94"/>
      <c r="R2" s="93"/>
    </row>
    <row r="3" spans="2:18" x14ac:dyDescent="0.35">
      <c r="B3" s="35" t="s">
        <v>181</v>
      </c>
      <c r="C3" s="36">
        <v>185</v>
      </c>
      <c r="D3" s="36">
        <v>190</v>
      </c>
      <c r="E3" s="36">
        <v>180</v>
      </c>
      <c r="F3" s="36">
        <v>180</v>
      </c>
      <c r="G3" s="36">
        <v>190</v>
      </c>
      <c r="H3" s="36">
        <v>165</v>
      </c>
      <c r="I3" s="36">
        <v>170</v>
      </c>
      <c r="J3" s="17"/>
      <c r="L3" s="93"/>
      <c r="M3" s="93"/>
      <c r="N3" s="94"/>
      <c r="O3" s="94"/>
      <c r="P3" s="94"/>
      <c r="Q3" s="94"/>
      <c r="R3" s="93"/>
    </row>
    <row r="4" spans="2:18" x14ac:dyDescent="0.35">
      <c r="B4" s="35" t="s">
        <v>182</v>
      </c>
      <c r="C4" s="36">
        <v>10</v>
      </c>
      <c r="D4" s="36">
        <v>10</v>
      </c>
      <c r="E4" s="36">
        <v>10</v>
      </c>
      <c r="F4" s="36">
        <v>10</v>
      </c>
      <c r="G4" s="36">
        <v>10</v>
      </c>
      <c r="H4" s="36" t="s">
        <v>58</v>
      </c>
      <c r="I4" s="36">
        <v>10</v>
      </c>
      <c r="J4" s="17"/>
      <c r="L4" s="93"/>
      <c r="M4" s="93"/>
      <c r="N4" s="94"/>
      <c r="O4" s="94"/>
      <c r="P4" s="94"/>
      <c r="Q4" s="94"/>
      <c r="R4" s="93"/>
    </row>
    <row r="5" spans="2:18" ht="15" thickBot="1" x14ac:dyDescent="0.4">
      <c r="B5" s="37" t="s">
        <v>183</v>
      </c>
      <c r="C5" s="38" t="s">
        <v>57</v>
      </c>
      <c r="D5" s="38" t="s">
        <v>48</v>
      </c>
      <c r="E5" s="38">
        <v>10</v>
      </c>
      <c r="F5" s="38">
        <v>10</v>
      </c>
      <c r="G5" s="38" t="s">
        <v>48</v>
      </c>
      <c r="H5" s="38">
        <v>20</v>
      </c>
      <c r="I5" s="38">
        <v>20</v>
      </c>
      <c r="J5" s="17"/>
      <c r="L5" s="93"/>
      <c r="M5" s="93"/>
      <c r="N5" s="94"/>
      <c r="O5" s="94"/>
      <c r="P5" s="94"/>
      <c r="Q5" s="94"/>
      <c r="R5" s="93"/>
    </row>
    <row r="6" spans="2:18" x14ac:dyDescent="0.35">
      <c r="B6" s="92" t="s">
        <v>184</v>
      </c>
      <c r="C6" s="92"/>
      <c r="D6" s="92"/>
      <c r="E6" s="92"/>
      <c r="F6" s="92"/>
      <c r="G6" s="92"/>
      <c r="H6" s="92"/>
      <c r="I6" s="92"/>
      <c r="L6" s="93"/>
      <c r="M6" s="93"/>
      <c r="N6" s="93"/>
      <c r="O6" s="93"/>
      <c r="P6" s="93"/>
      <c r="Q6" s="93"/>
      <c r="R6" s="93"/>
    </row>
    <row r="8" spans="2:18" x14ac:dyDescent="0.35">
      <c r="D8" t="s">
        <v>54</v>
      </c>
      <c r="F8" t="s">
        <v>56</v>
      </c>
      <c r="I8" t="s">
        <v>55</v>
      </c>
    </row>
  </sheetData>
  <mergeCells count="1">
    <mergeCell ref="B6:I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 buena</vt:lpstr>
      <vt:lpstr>Calculos</vt:lpstr>
      <vt:lpstr>TEAC PATRON</vt:lpstr>
      <vt:lpstr>MDA PATRON</vt:lpstr>
      <vt:lpstr>TFG_datos</vt:lpstr>
      <vt:lpstr>Hoja en sucio</vt:lpstr>
      <vt:lpstr>Organizacion diseño</vt:lpstr>
      <vt:lpstr>Tabla metodos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2022-05-08T18:34:10Z</dcterms:created>
  <dcterms:modified xsi:type="dcterms:W3CDTF">2022-06-06T10:03:57Z</dcterms:modified>
</cp:coreProperties>
</file>