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collf\Documents\GitHub\TFM-Ortiguilla\datos\"/>
    </mc:Choice>
  </mc:AlternateContent>
  <xr:revisionPtr revIDLastSave="0" documentId="13_ncr:1_{C5AD9DF8-F56E-4EAD-8967-DA75E06CEF3D}" xr6:coauthVersionLast="47" xr6:coauthVersionMax="47" xr10:uidLastSave="{00000000-0000-0000-0000-000000000000}"/>
  <bookViews>
    <workbookView xWindow="-110" yWindow="-110" windowWidth="19420" windowHeight="10300" xr2:uid="{1CB412F8-9ABE-48C7-98C9-C1273AA5EDC5}"/>
  </bookViews>
  <sheets>
    <sheet name="Datos TFG" sheetId="2" r:id="rId1"/>
    <sheet name="Peso" sheetId="1" r:id="rId2"/>
    <sheet name="Clor a+c2" sheetId="12" r:id="rId3"/>
    <sheet name="CAT" sheetId="6" r:id="rId4"/>
    <sheet name="GST" sheetId="7" r:id="rId5"/>
    <sheet name="TEAC" sheetId="10" r:id="rId6"/>
    <sheet name="Bradford" sheetId="11" r:id="rId7"/>
    <sheet name="MDA" sheetId="13" r:id="rId8"/>
  </sheets>
  <definedNames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Peso!$F$10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3" i="7" l="1"/>
  <c r="H41" i="7"/>
  <c r="H39" i="7"/>
  <c r="H37" i="7"/>
  <c r="H35" i="7"/>
  <c r="H33" i="7"/>
  <c r="I33" i="7" s="1"/>
  <c r="J33" i="7" s="1"/>
  <c r="H31" i="7"/>
  <c r="I23" i="7" s="1"/>
  <c r="J23" i="7" s="1"/>
  <c r="H29" i="7"/>
  <c r="H27" i="7"/>
  <c r="H25" i="7"/>
  <c r="H23" i="7"/>
  <c r="H21" i="7"/>
  <c r="H17" i="7"/>
  <c r="H15" i="7"/>
  <c r="H13" i="7"/>
  <c r="I13" i="7" s="1"/>
  <c r="J13" i="7" s="1"/>
  <c r="H11" i="7"/>
  <c r="H9" i="7"/>
  <c r="H7" i="7"/>
  <c r="H5" i="7"/>
  <c r="H3" i="7"/>
  <c r="I3" i="7" s="1"/>
  <c r="J3" i="7" s="1"/>
  <c r="R13" i="7"/>
  <c r="S13" i="7" s="1"/>
  <c r="R23" i="7"/>
  <c r="S23" i="7" s="1"/>
  <c r="R33" i="7"/>
  <c r="S33" i="7" s="1"/>
  <c r="S3" i="7"/>
  <c r="R3" i="7"/>
  <c r="Q5" i="7"/>
  <c r="Q7" i="7"/>
  <c r="Q9" i="7"/>
  <c r="Q11" i="7"/>
  <c r="Q13" i="7"/>
  <c r="Q15" i="7"/>
  <c r="Q19" i="7"/>
  <c r="Q21" i="7"/>
  <c r="Q23" i="7"/>
  <c r="Q27" i="7"/>
  <c r="Q29" i="7"/>
  <c r="Q31" i="7"/>
  <c r="Q35" i="7"/>
  <c r="Q37" i="7"/>
  <c r="Q39" i="7"/>
  <c r="Q41" i="7"/>
  <c r="Q3" i="7"/>
  <c r="S21" i="6"/>
  <c r="R21" i="6"/>
  <c r="Q7" i="6"/>
  <c r="Q15" i="6"/>
  <c r="Q11" i="6"/>
  <c r="Q41" i="6"/>
  <c r="Q39" i="6"/>
  <c r="Q23" i="6"/>
  <c r="H15" i="6"/>
  <c r="Q49" i="6"/>
  <c r="Q47" i="6"/>
  <c r="Q45" i="6"/>
  <c r="Q43" i="6"/>
  <c r="Q37" i="6"/>
  <c r="Q35" i="6"/>
  <c r="Q33" i="6"/>
  <c r="Q31" i="6"/>
  <c r="R31" i="6" s="1"/>
  <c r="S31" i="6" s="1"/>
  <c r="Q29" i="6"/>
  <c r="Q27" i="6"/>
  <c r="Q21" i="6"/>
  <c r="Q19" i="6"/>
  <c r="Q3" i="6"/>
  <c r="K40" i="11"/>
  <c r="J40" i="11"/>
  <c r="J64" i="11"/>
  <c r="K64" i="11" s="1"/>
  <c r="J62" i="11"/>
  <c r="K62" i="11" s="1"/>
  <c r="J60" i="11"/>
  <c r="K60" i="11" s="1"/>
  <c r="K58" i="11"/>
  <c r="J58" i="11"/>
  <c r="L56" i="11" s="1"/>
  <c r="M56" i="11" s="1"/>
  <c r="J56" i="11"/>
  <c r="K56" i="11" s="1"/>
  <c r="J54" i="11"/>
  <c r="K54" i="11" s="1"/>
  <c r="K52" i="11"/>
  <c r="J52" i="11"/>
  <c r="J50" i="11"/>
  <c r="K50" i="11" s="1"/>
  <c r="J48" i="11"/>
  <c r="K48" i="11" s="1"/>
  <c r="K46" i="11"/>
  <c r="J46" i="11"/>
  <c r="L46" i="11" s="1"/>
  <c r="M46" i="11" s="1"/>
  <c r="J44" i="11"/>
  <c r="K44" i="11" s="1"/>
  <c r="J42" i="11"/>
  <c r="K42" i="11" s="1"/>
  <c r="K38" i="11"/>
  <c r="J38" i="11"/>
  <c r="J36" i="11"/>
  <c r="K36" i="11" s="1"/>
  <c r="J34" i="11"/>
  <c r="K34" i="11" s="1"/>
  <c r="K32" i="11"/>
  <c r="J32" i="11"/>
  <c r="J30" i="11"/>
  <c r="K30" i="11" s="1"/>
  <c r="J28" i="11"/>
  <c r="K28" i="11" s="1"/>
  <c r="K26" i="11"/>
  <c r="J26" i="11"/>
  <c r="L26" i="11" s="1"/>
  <c r="M26" i="11" s="1"/>
  <c r="E28" i="11"/>
  <c r="E30" i="11"/>
  <c r="E32" i="11"/>
  <c r="E34" i="11"/>
  <c r="E36" i="11"/>
  <c r="E38" i="11"/>
  <c r="E40" i="11"/>
  <c r="E42" i="11"/>
  <c r="E44" i="11"/>
  <c r="E46" i="11"/>
  <c r="E48" i="11"/>
  <c r="E50" i="11"/>
  <c r="E52" i="11"/>
  <c r="E54" i="11"/>
  <c r="E56" i="11"/>
  <c r="E58" i="11"/>
  <c r="E60" i="11"/>
  <c r="E62" i="11"/>
  <c r="E64" i="11"/>
  <c r="E26" i="11"/>
  <c r="D28" i="11"/>
  <c r="D30" i="11"/>
  <c r="D32" i="11"/>
  <c r="D34" i="11"/>
  <c r="D36" i="11"/>
  <c r="D38" i="11"/>
  <c r="D40" i="11"/>
  <c r="D42" i="11"/>
  <c r="D44" i="11"/>
  <c r="D46" i="11"/>
  <c r="D48" i="11"/>
  <c r="D50" i="11"/>
  <c r="D52" i="11"/>
  <c r="D54" i="11"/>
  <c r="D56" i="11"/>
  <c r="D58" i="11"/>
  <c r="D60" i="11"/>
  <c r="D62" i="11"/>
  <c r="D64" i="11"/>
  <c r="D26" i="11"/>
  <c r="I65" i="11"/>
  <c r="I64" i="11"/>
  <c r="I63" i="11"/>
  <c r="I62" i="11"/>
  <c r="I61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26" i="11"/>
  <c r="R41" i="6" l="1"/>
  <c r="S41" i="6" s="1"/>
  <c r="R3" i="6"/>
  <c r="S3" i="6" s="1"/>
  <c r="L36" i="11"/>
  <c r="M36" i="11" s="1"/>
  <c r="T12" i="12" l="1"/>
  <c r="S12" i="12"/>
  <c r="N3" i="12"/>
  <c r="N6" i="12"/>
  <c r="N11" i="12"/>
  <c r="N27" i="12"/>
  <c r="N35" i="12"/>
  <c r="N38" i="12"/>
  <c r="K6" i="12"/>
  <c r="L6" i="12" s="1"/>
  <c r="K7" i="12"/>
  <c r="K12" i="12"/>
  <c r="K20" i="12"/>
  <c r="K30" i="12"/>
  <c r="K31" i="12"/>
  <c r="K38" i="12"/>
  <c r="L38" i="12" s="1"/>
  <c r="K39" i="12"/>
  <c r="I3" i="12"/>
  <c r="K3" i="12" s="1"/>
  <c r="J3" i="12"/>
  <c r="I4" i="12"/>
  <c r="K4" i="12" s="1"/>
  <c r="J4" i="12"/>
  <c r="N4" i="12" s="1"/>
  <c r="I5" i="12"/>
  <c r="K5" i="12" s="1"/>
  <c r="J5" i="12"/>
  <c r="N5" i="12" s="1"/>
  <c r="I6" i="12"/>
  <c r="J6" i="12"/>
  <c r="I7" i="12"/>
  <c r="J7" i="12"/>
  <c r="N7" i="12" s="1"/>
  <c r="I8" i="12"/>
  <c r="K8" i="12" s="1"/>
  <c r="J8" i="12"/>
  <c r="N8" i="12" s="1"/>
  <c r="O8" i="12" s="1"/>
  <c r="P8" i="12" s="1"/>
  <c r="I9" i="12"/>
  <c r="K9" i="12" s="1"/>
  <c r="J9" i="12"/>
  <c r="N9" i="12" s="1"/>
  <c r="I10" i="12"/>
  <c r="K10" i="12" s="1"/>
  <c r="J10" i="12"/>
  <c r="N10" i="12" s="1"/>
  <c r="O10" i="12" s="1"/>
  <c r="P10" i="12" s="1"/>
  <c r="I11" i="12"/>
  <c r="K11" i="12" s="1"/>
  <c r="J11" i="12"/>
  <c r="I32" i="12"/>
  <c r="K32" i="12" s="1"/>
  <c r="J32" i="12"/>
  <c r="N32" i="12" s="1"/>
  <c r="O32" i="12" s="1"/>
  <c r="P32" i="12" s="1"/>
  <c r="I33" i="12"/>
  <c r="K33" i="12" s="1"/>
  <c r="J33" i="12"/>
  <c r="N33" i="12" s="1"/>
  <c r="I34" i="12"/>
  <c r="K34" i="12" s="1"/>
  <c r="J34" i="12"/>
  <c r="N34" i="12" s="1"/>
  <c r="O34" i="12" s="1"/>
  <c r="P34" i="12" s="1"/>
  <c r="I35" i="12"/>
  <c r="K35" i="12" s="1"/>
  <c r="J35" i="12"/>
  <c r="I36" i="12"/>
  <c r="K36" i="12" s="1"/>
  <c r="J36" i="12"/>
  <c r="N36" i="12" s="1"/>
  <c r="I37" i="12"/>
  <c r="K37" i="12" s="1"/>
  <c r="J37" i="12"/>
  <c r="N37" i="12" s="1"/>
  <c r="I38" i="12"/>
  <c r="J38" i="12"/>
  <c r="I39" i="12"/>
  <c r="J39" i="12"/>
  <c r="N39" i="12" s="1"/>
  <c r="O38" i="12" s="1"/>
  <c r="P38" i="12" s="1"/>
  <c r="I40" i="12"/>
  <c r="K40" i="12" s="1"/>
  <c r="J40" i="12"/>
  <c r="N40" i="12" s="1"/>
  <c r="O40" i="12" s="1"/>
  <c r="P40" i="12" s="1"/>
  <c r="I41" i="12"/>
  <c r="K41" i="12" s="1"/>
  <c r="J41" i="12"/>
  <c r="N41" i="12" s="1"/>
  <c r="I12" i="12"/>
  <c r="J12" i="12"/>
  <c r="N12" i="12" s="1"/>
  <c r="I13" i="12"/>
  <c r="K13" i="12" s="1"/>
  <c r="J13" i="12"/>
  <c r="N13" i="12" s="1"/>
  <c r="I14" i="12"/>
  <c r="K14" i="12" s="1"/>
  <c r="J14" i="12"/>
  <c r="I15" i="12"/>
  <c r="K15" i="12" s="1"/>
  <c r="J15" i="12"/>
  <c r="N15" i="12" s="1"/>
  <c r="I16" i="12"/>
  <c r="K16" i="12" s="1"/>
  <c r="J16" i="12"/>
  <c r="N16" i="12" s="1"/>
  <c r="O16" i="12" s="1"/>
  <c r="P16" i="12" s="1"/>
  <c r="I17" i="12"/>
  <c r="K17" i="12" s="1"/>
  <c r="J17" i="12"/>
  <c r="N17" i="12" s="1"/>
  <c r="I18" i="12"/>
  <c r="K18" i="12" s="1"/>
  <c r="J18" i="12"/>
  <c r="N18" i="12" s="1"/>
  <c r="O18" i="12" s="1"/>
  <c r="P18" i="12" s="1"/>
  <c r="I19" i="12"/>
  <c r="K19" i="12" s="1"/>
  <c r="J19" i="12"/>
  <c r="N19" i="12" s="1"/>
  <c r="I20" i="12"/>
  <c r="J20" i="12"/>
  <c r="N20" i="12" s="1"/>
  <c r="I21" i="12"/>
  <c r="K21" i="12" s="1"/>
  <c r="J21" i="12"/>
  <c r="N21" i="12" s="1"/>
  <c r="I22" i="12"/>
  <c r="K22" i="12" s="1"/>
  <c r="J22" i="12"/>
  <c r="N22" i="12" s="1"/>
  <c r="O22" i="12" s="1"/>
  <c r="P22" i="12" s="1"/>
  <c r="I23" i="12"/>
  <c r="K23" i="12" s="1"/>
  <c r="J23" i="12"/>
  <c r="N23" i="12" s="1"/>
  <c r="I26" i="12"/>
  <c r="K26" i="12" s="1"/>
  <c r="J26" i="12"/>
  <c r="N26" i="12" s="1"/>
  <c r="O26" i="12" s="1"/>
  <c r="P26" i="12" s="1"/>
  <c r="I27" i="12"/>
  <c r="K27" i="12" s="1"/>
  <c r="J27" i="12"/>
  <c r="I28" i="12"/>
  <c r="K28" i="12" s="1"/>
  <c r="J28" i="12"/>
  <c r="N28" i="12" s="1"/>
  <c r="I29" i="12"/>
  <c r="K29" i="12" s="1"/>
  <c r="J29" i="12"/>
  <c r="N29" i="12" s="1"/>
  <c r="I30" i="12"/>
  <c r="J30" i="12"/>
  <c r="N30" i="12" s="1"/>
  <c r="O30" i="12" s="1"/>
  <c r="P30" i="12" s="1"/>
  <c r="I31" i="12"/>
  <c r="J31" i="12"/>
  <c r="N31" i="12" s="1"/>
  <c r="I24" i="12"/>
  <c r="K24" i="12" s="1"/>
  <c r="J24" i="12"/>
  <c r="N24" i="12" s="1"/>
  <c r="O24" i="12" s="1"/>
  <c r="P24" i="12" s="1"/>
  <c r="I25" i="12"/>
  <c r="K25" i="12" s="1"/>
  <c r="J25" i="12"/>
  <c r="N25" i="12" s="1"/>
  <c r="J2" i="12"/>
  <c r="N2" i="12" s="1"/>
  <c r="O2" i="12" s="1"/>
  <c r="P2" i="12" s="1"/>
  <c r="I2" i="12"/>
  <c r="K2" i="12" s="1"/>
  <c r="N52" i="10"/>
  <c r="O52" i="10" s="1"/>
  <c r="O42" i="10"/>
  <c r="N42" i="10"/>
  <c r="N32" i="10"/>
  <c r="O32" i="10" s="1"/>
  <c r="N22" i="10"/>
  <c r="O22" i="10" s="1"/>
  <c r="L60" i="10"/>
  <c r="M60" i="10" s="1"/>
  <c r="L58" i="10"/>
  <c r="M58" i="10" s="1"/>
  <c r="L56" i="10"/>
  <c r="M56" i="10" s="1"/>
  <c r="M54" i="10"/>
  <c r="L54" i="10"/>
  <c r="L52" i="10"/>
  <c r="M52" i="10" s="1"/>
  <c r="L50" i="10"/>
  <c r="M50" i="10" s="1"/>
  <c r="L48" i="10"/>
  <c r="M48" i="10" s="1"/>
  <c r="M46" i="10"/>
  <c r="L46" i="10"/>
  <c r="L44" i="10"/>
  <c r="M44" i="10" s="1"/>
  <c r="L42" i="10"/>
  <c r="M42" i="10" s="1"/>
  <c r="L40" i="10"/>
  <c r="M40" i="10" s="1"/>
  <c r="M38" i="10"/>
  <c r="L38" i="10"/>
  <c r="L36" i="10"/>
  <c r="M36" i="10" s="1"/>
  <c r="L34" i="10"/>
  <c r="M34" i="10" s="1"/>
  <c r="L32" i="10"/>
  <c r="M32" i="10" s="1"/>
  <c r="M30" i="10"/>
  <c r="L30" i="10"/>
  <c r="L28" i="10"/>
  <c r="M28" i="10" s="1"/>
  <c r="L26" i="10"/>
  <c r="M26" i="10" s="1"/>
  <c r="L24" i="10"/>
  <c r="M24" i="10" s="1"/>
  <c r="M22" i="10"/>
  <c r="L22" i="10"/>
  <c r="J61" i="10"/>
  <c r="J60" i="10"/>
  <c r="K60" i="10" s="1"/>
  <c r="J59" i="10"/>
  <c r="K59" i="10" s="1"/>
  <c r="J58" i="10"/>
  <c r="J57" i="10"/>
  <c r="J56" i="10"/>
  <c r="K56" i="10" s="1"/>
  <c r="J55" i="10"/>
  <c r="K55" i="10" s="1"/>
  <c r="J54" i="10"/>
  <c r="J53" i="10"/>
  <c r="J52" i="10"/>
  <c r="K52" i="10" s="1"/>
  <c r="J51" i="10"/>
  <c r="K51" i="10" s="1"/>
  <c r="J50" i="10"/>
  <c r="K50" i="10" s="1"/>
  <c r="J49" i="10"/>
  <c r="K49" i="10" s="1"/>
  <c r="J48" i="10"/>
  <c r="K48" i="10" s="1"/>
  <c r="J47" i="10"/>
  <c r="K47" i="10" s="1"/>
  <c r="J46" i="10"/>
  <c r="J45" i="10"/>
  <c r="J44" i="10"/>
  <c r="K44" i="10" s="1"/>
  <c r="J43" i="10"/>
  <c r="K43" i="10" s="1"/>
  <c r="J42" i="10"/>
  <c r="J41" i="10"/>
  <c r="J40" i="10"/>
  <c r="J39" i="10"/>
  <c r="K39" i="10" s="1"/>
  <c r="J38" i="10"/>
  <c r="J37" i="10"/>
  <c r="K37" i="10" s="1"/>
  <c r="J36" i="10"/>
  <c r="K36" i="10" s="1"/>
  <c r="J35" i="10"/>
  <c r="J34" i="10"/>
  <c r="J33" i="10"/>
  <c r="K33" i="10" s="1"/>
  <c r="J32" i="10"/>
  <c r="J31" i="10"/>
  <c r="K31" i="10" s="1"/>
  <c r="J30" i="10"/>
  <c r="J29" i="10"/>
  <c r="J28" i="10"/>
  <c r="J27" i="10"/>
  <c r="J26" i="10"/>
  <c r="K26" i="10" s="1"/>
  <c r="J24" i="10"/>
  <c r="J23" i="10"/>
  <c r="J22" i="10"/>
  <c r="K22" i="10" s="1"/>
  <c r="K23" i="10"/>
  <c r="K24" i="10"/>
  <c r="K25" i="10"/>
  <c r="K27" i="10"/>
  <c r="K28" i="10"/>
  <c r="K29" i="10"/>
  <c r="K30" i="10"/>
  <c r="K32" i="10"/>
  <c r="K34" i="10"/>
  <c r="K35" i="10"/>
  <c r="K38" i="10"/>
  <c r="K40" i="10"/>
  <c r="K41" i="10"/>
  <c r="K42" i="10"/>
  <c r="K45" i="10"/>
  <c r="K46" i="10"/>
  <c r="K53" i="10"/>
  <c r="K54" i="10"/>
  <c r="K57" i="10"/>
  <c r="K58" i="10"/>
  <c r="K61" i="10"/>
  <c r="J25" i="10"/>
  <c r="G32" i="10"/>
  <c r="H32" i="10" s="1"/>
  <c r="G42" i="10"/>
  <c r="H42" i="10" s="1"/>
  <c r="G52" i="10"/>
  <c r="H52" i="10"/>
  <c r="H22" i="10"/>
  <c r="G22" i="10"/>
  <c r="F22" i="10"/>
  <c r="E56" i="10"/>
  <c r="F56" i="10" s="1"/>
  <c r="E58" i="10"/>
  <c r="F58" i="10" s="1"/>
  <c r="E60" i="10"/>
  <c r="F60" i="10" s="1"/>
  <c r="E48" i="10"/>
  <c r="F48" i="10" s="1"/>
  <c r="E50" i="10"/>
  <c r="F50" i="10"/>
  <c r="E52" i="10"/>
  <c r="F52" i="10"/>
  <c r="E54" i="10"/>
  <c r="F54" i="10" s="1"/>
  <c r="E42" i="10"/>
  <c r="F42" i="10" s="1"/>
  <c r="E44" i="10"/>
  <c r="F44" i="10" s="1"/>
  <c r="E46" i="10"/>
  <c r="F46" i="10" s="1"/>
  <c r="E32" i="10"/>
  <c r="F32" i="10" s="1"/>
  <c r="E34" i="10"/>
  <c r="F34" i="10" s="1"/>
  <c r="E36" i="10"/>
  <c r="F36" i="10" s="1"/>
  <c r="E38" i="10"/>
  <c r="F38" i="10"/>
  <c r="E40" i="10"/>
  <c r="F40" i="10" s="1"/>
  <c r="E24" i="10"/>
  <c r="F24" i="10" s="1"/>
  <c r="E26" i="10"/>
  <c r="F26" i="10" s="1"/>
  <c r="E28" i="10"/>
  <c r="F28" i="10" s="1"/>
  <c r="E30" i="10"/>
  <c r="F30" i="10"/>
  <c r="E22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23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D22" i="10" s="1"/>
  <c r="F36" i="11" l="1"/>
  <c r="G36" i="11" s="1"/>
  <c r="F56" i="11"/>
  <c r="G56" i="11" s="1"/>
  <c r="F26" i="11"/>
  <c r="G26" i="11" s="1"/>
  <c r="F46" i="11"/>
  <c r="G46" i="11" s="1"/>
  <c r="P28" i="12"/>
  <c r="O28" i="12"/>
  <c r="M6" i="12"/>
  <c r="L2" i="12"/>
  <c r="Q2" i="12" s="1"/>
  <c r="R2" i="12" s="1"/>
  <c r="O20" i="12"/>
  <c r="P20" i="12" s="1"/>
  <c r="M26" i="12"/>
  <c r="L26" i="12"/>
  <c r="Q26" i="12" s="1"/>
  <c r="R26" i="12" s="1"/>
  <c r="L16" i="12"/>
  <c r="Q16" i="12" s="1"/>
  <c r="R16" i="12" s="1"/>
  <c r="M16" i="12"/>
  <c r="L34" i="12"/>
  <c r="Q34" i="12" s="1"/>
  <c r="R34" i="12" s="1"/>
  <c r="M34" i="12"/>
  <c r="L10" i="12"/>
  <c r="Q10" i="12" s="1"/>
  <c r="R10" i="12" s="1"/>
  <c r="Q38" i="12"/>
  <c r="R38" i="12" s="1"/>
  <c r="M38" i="12"/>
  <c r="P12" i="12"/>
  <c r="O12" i="12"/>
  <c r="O36" i="12"/>
  <c r="P36" i="12"/>
  <c r="P4" i="12"/>
  <c r="O4" i="12"/>
  <c r="L20" i="12"/>
  <c r="O6" i="12"/>
  <c r="P6" i="12" s="1"/>
  <c r="L24" i="12"/>
  <c r="Q24" i="12" s="1"/>
  <c r="R24" i="12" s="1"/>
  <c r="L28" i="12"/>
  <c r="Q28" i="12" s="1"/>
  <c r="R28" i="12" s="1"/>
  <c r="L22" i="12"/>
  <c r="Q22" i="12" s="1"/>
  <c r="R22" i="12" s="1"/>
  <c r="L18" i="12"/>
  <c r="Q18" i="12" s="1"/>
  <c r="R18" i="12" s="1"/>
  <c r="M18" i="12"/>
  <c r="M14" i="12"/>
  <c r="L14" i="12"/>
  <c r="L40" i="12"/>
  <c r="Q40" i="12" s="1"/>
  <c r="R40" i="12" s="1"/>
  <c r="M40" i="12"/>
  <c r="M36" i="12"/>
  <c r="L36" i="12"/>
  <c r="L32" i="12"/>
  <c r="Q32" i="12" s="1"/>
  <c r="R32" i="12" s="1"/>
  <c r="L8" i="12"/>
  <c r="Q8" i="12" s="1"/>
  <c r="R8" i="12" s="1"/>
  <c r="L4" i="12"/>
  <c r="Q4" i="12" s="1"/>
  <c r="R4" i="12" s="1"/>
  <c r="M4" i="12"/>
  <c r="M12" i="12"/>
  <c r="M20" i="12"/>
  <c r="L12" i="12"/>
  <c r="Q12" i="12" s="1"/>
  <c r="R12" i="12" s="1"/>
  <c r="L30" i="12"/>
  <c r="Q30" i="12" s="1"/>
  <c r="R30" i="12" s="1"/>
  <c r="N14" i="12"/>
  <c r="O14" i="12" s="1"/>
  <c r="P14" i="12" s="1"/>
  <c r="C18" i="10"/>
  <c r="C17" i="10"/>
  <c r="C16" i="10"/>
  <c r="C15" i="10"/>
  <c r="C14" i="10"/>
  <c r="C13" i="10"/>
  <c r="C12" i="10"/>
  <c r="C11" i="10"/>
  <c r="C10" i="10"/>
  <c r="C9" i="10"/>
  <c r="C8" i="10"/>
  <c r="C6" i="10"/>
  <c r="C4" i="10"/>
  <c r="C5" i="10"/>
  <c r="C7" i="10"/>
  <c r="C3" i="10"/>
  <c r="P5" i="7"/>
  <c r="P7" i="7"/>
  <c r="P9" i="7"/>
  <c r="P11" i="7"/>
  <c r="P13" i="7"/>
  <c r="P15" i="7"/>
  <c r="P17" i="7"/>
  <c r="P19" i="7"/>
  <c r="P21" i="7"/>
  <c r="P23" i="7"/>
  <c r="P25" i="7"/>
  <c r="P27" i="7"/>
  <c r="P29" i="7"/>
  <c r="P31" i="7"/>
  <c r="P33" i="7"/>
  <c r="P35" i="7"/>
  <c r="P37" i="7"/>
  <c r="P39" i="7"/>
  <c r="P41" i="7"/>
  <c r="P3" i="7"/>
  <c r="O5" i="7"/>
  <c r="O7" i="7"/>
  <c r="O9" i="7"/>
  <c r="O11" i="7"/>
  <c r="O13" i="7"/>
  <c r="O15" i="7"/>
  <c r="O17" i="7"/>
  <c r="O19" i="7"/>
  <c r="O21" i="7"/>
  <c r="O23" i="7"/>
  <c r="O25" i="7"/>
  <c r="O27" i="7"/>
  <c r="O29" i="7"/>
  <c r="O31" i="7"/>
  <c r="O33" i="7"/>
  <c r="O35" i="7"/>
  <c r="O37" i="7"/>
  <c r="O39" i="7"/>
  <c r="O41" i="7"/>
  <c r="O3" i="7"/>
  <c r="N3" i="7"/>
  <c r="M5" i="7"/>
  <c r="N5" i="7" s="1"/>
  <c r="M7" i="7"/>
  <c r="N7" i="7"/>
  <c r="M9" i="7"/>
  <c r="N9" i="7" s="1"/>
  <c r="M11" i="7"/>
  <c r="N11" i="7"/>
  <c r="M13" i="7"/>
  <c r="N13" i="7"/>
  <c r="M15" i="7"/>
  <c r="N15" i="7"/>
  <c r="M17" i="7"/>
  <c r="N17" i="7" s="1"/>
  <c r="M19" i="7"/>
  <c r="N19" i="7"/>
  <c r="M21" i="7"/>
  <c r="N21" i="7"/>
  <c r="M23" i="7"/>
  <c r="N23" i="7"/>
  <c r="M25" i="7"/>
  <c r="N25" i="7" s="1"/>
  <c r="M27" i="7"/>
  <c r="N27" i="7"/>
  <c r="M29" i="7"/>
  <c r="N29" i="7"/>
  <c r="M31" i="7"/>
  <c r="N31" i="7"/>
  <c r="M33" i="7"/>
  <c r="N33" i="7" s="1"/>
  <c r="M35" i="7"/>
  <c r="N35" i="7"/>
  <c r="M37" i="7"/>
  <c r="N37" i="7"/>
  <c r="M39" i="7"/>
  <c r="N39" i="7"/>
  <c r="M41" i="7"/>
  <c r="N41" i="7" s="1"/>
  <c r="M3" i="7"/>
  <c r="G19" i="7"/>
  <c r="G5" i="7"/>
  <c r="G7" i="7"/>
  <c r="G9" i="7"/>
  <c r="G11" i="7"/>
  <c r="G13" i="7"/>
  <c r="G15" i="7"/>
  <c r="G17" i="7"/>
  <c r="G21" i="7"/>
  <c r="G23" i="7"/>
  <c r="G25" i="7"/>
  <c r="G27" i="7"/>
  <c r="G29" i="7"/>
  <c r="G31" i="7"/>
  <c r="G33" i="7"/>
  <c r="G35" i="7"/>
  <c r="G37" i="7"/>
  <c r="G39" i="7"/>
  <c r="G41" i="7"/>
  <c r="G3" i="7"/>
  <c r="D39" i="7"/>
  <c r="F39" i="7" s="1"/>
  <c r="E39" i="7"/>
  <c r="D5" i="7"/>
  <c r="E5" i="7" s="1"/>
  <c r="D3" i="7"/>
  <c r="F3" i="7" s="1"/>
  <c r="E9" i="7"/>
  <c r="E35" i="7"/>
  <c r="D7" i="7"/>
  <c r="F7" i="7" s="1"/>
  <c r="D9" i="7"/>
  <c r="F9" i="7" s="1"/>
  <c r="D11" i="7"/>
  <c r="F11" i="7" s="1"/>
  <c r="D13" i="7"/>
  <c r="F13" i="7" s="1"/>
  <c r="D15" i="7"/>
  <c r="F15" i="7" s="1"/>
  <c r="D17" i="7"/>
  <c r="F17" i="7" s="1"/>
  <c r="D19" i="7"/>
  <c r="F19" i="7" s="1"/>
  <c r="D21" i="7"/>
  <c r="F21" i="7" s="1"/>
  <c r="D23" i="7"/>
  <c r="F23" i="7" s="1"/>
  <c r="D25" i="7"/>
  <c r="F25" i="7" s="1"/>
  <c r="D27" i="7"/>
  <c r="F27" i="7" s="1"/>
  <c r="D29" i="7"/>
  <c r="F29" i="7" s="1"/>
  <c r="D31" i="7"/>
  <c r="E31" i="7" s="1"/>
  <c r="D33" i="7"/>
  <c r="F33" i="7" s="1"/>
  <c r="D35" i="7"/>
  <c r="F35" i="7" s="1"/>
  <c r="D37" i="7"/>
  <c r="F37" i="7" s="1"/>
  <c r="D41" i="7"/>
  <c r="F41" i="7" s="1"/>
  <c r="M10" i="12" l="1"/>
  <c r="M28" i="12"/>
  <c r="M8" i="12"/>
  <c r="Q14" i="12"/>
  <c r="R14" i="12" s="1"/>
  <c r="M24" i="12"/>
  <c r="M30" i="12"/>
  <c r="M2" i="12"/>
  <c r="S22" i="12"/>
  <c r="T22" i="12" s="1"/>
  <c r="Q6" i="12"/>
  <c r="R6" i="12" s="1"/>
  <c r="M32" i="12"/>
  <c r="Q20" i="12"/>
  <c r="R20" i="12" s="1"/>
  <c r="Q36" i="12"/>
  <c r="R36" i="12" s="1"/>
  <c r="S32" i="12" s="1"/>
  <c r="T32" i="12" s="1"/>
  <c r="M22" i="12"/>
  <c r="E3" i="7"/>
  <c r="E25" i="7"/>
  <c r="E19" i="7"/>
  <c r="E27" i="7"/>
  <c r="E11" i="7"/>
  <c r="E41" i="7"/>
  <c r="E23" i="7"/>
  <c r="E7" i="7"/>
  <c r="E37" i="7"/>
  <c r="E21" i="7"/>
  <c r="F5" i="7"/>
  <c r="E33" i="7"/>
  <c r="E17" i="7"/>
  <c r="E15" i="7"/>
  <c r="F31" i="7"/>
  <c r="E29" i="7"/>
  <c r="E13" i="7"/>
  <c r="T2" i="12" l="1"/>
  <c r="S2" i="12"/>
  <c r="M21" i="6"/>
  <c r="N21" i="6" s="1"/>
  <c r="M23" i="6"/>
  <c r="O23" i="6" s="1"/>
  <c r="P23" i="6" s="1"/>
  <c r="M25" i="6"/>
  <c r="O25" i="6" s="1"/>
  <c r="P25" i="6" s="1"/>
  <c r="M27" i="6"/>
  <c r="O27" i="6" s="1"/>
  <c r="P27" i="6" s="1"/>
  <c r="M29" i="6"/>
  <c r="O29" i="6" s="1"/>
  <c r="P29" i="6" s="1"/>
  <c r="M31" i="6"/>
  <c r="O31" i="6" s="1"/>
  <c r="P31" i="6" s="1"/>
  <c r="M33" i="6"/>
  <c r="O33" i="6" s="1"/>
  <c r="P33" i="6" s="1"/>
  <c r="M35" i="6"/>
  <c r="O35" i="6" s="1"/>
  <c r="P35" i="6" s="1"/>
  <c r="M37" i="6"/>
  <c r="N37" i="6" s="1"/>
  <c r="M39" i="6"/>
  <c r="O39" i="6" s="1"/>
  <c r="P39" i="6" s="1"/>
  <c r="M41" i="6"/>
  <c r="O41" i="6" s="1"/>
  <c r="P41" i="6" s="1"/>
  <c r="M43" i="6"/>
  <c r="O43" i="6" s="1"/>
  <c r="P43" i="6" s="1"/>
  <c r="M45" i="6"/>
  <c r="O45" i="6" s="1"/>
  <c r="P45" i="6" s="1"/>
  <c r="M47" i="6"/>
  <c r="O47" i="6" s="1"/>
  <c r="P47" i="6" s="1"/>
  <c r="M49" i="6"/>
  <c r="N49" i="6" s="1"/>
  <c r="M19" i="6"/>
  <c r="O19" i="6" s="1"/>
  <c r="P19" i="6" s="1"/>
  <c r="M15" i="6"/>
  <c r="N15" i="6" s="1"/>
  <c r="M11" i="6"/>
  <c r="O11" i="6" s="1"/>
  <c r="P11" i="6" s="1"/>
  <c r="M7" i="6"/>
  <c r="O7" i="6" s="1"/>
  <c r="P7" i="6" s="1"/>
  <c r="M3" i="6"/>
  <c r="O3" i="6" s="1"/>
  <c r="P3" i="6" s="1"/>
  <c r="D27" i="6"/>
  <c r="E27" i="6" s="1"/>
  <c r="D29" i="6"/>
  <c r="E29" i="6" s="1"/>
  <c r="D31" i="6"/>
  <c r="E31" i="6" s="1"/>
  <c r="D33" i="6"/>
  <c r="E33" i="6" s="1"/>
  <c r="D35" i="6"/>
  <c r="F35" i="6" s="1"/>
  <c r="G35" i="6" s="1"/>
  <c r="H35" i="6" s="1"/>
  <c r="D37" i="6"/>
  <c r="E37" i="6" s="1"/>
  <c r="D39" i="6"/>
  <c r="E39" i="6" s="1"/>
  <c r="D41" i="6"/>
  <c r="E41" i="6" s="1"/>
  <c r="D43" i="6"/>
  <c r="E43" i="6" s="1"/>
  <c r="D45" i="6"/>
  <c r="E45" i="6" s="1"/>
  <c r="D47" i="6"/>
  <c r="E47" i="6" s="1"/>
  <c r="D49" i="6"/>
  <c r="F49" i="6" s="1"/>
  <c r="G49" i="6" s="1"/>
  <c r="H49" i="6" s="1"/>
  <c r="D21" i="6"/>
  <c r="E21" i="6" s="1"/>
  <c r="D23" i="6"/>
  <c r="E23" i="6" s="1"/>
  <c r="D25" i="6"/>
  <c r="E25" i="6" s="1"/>
  <c r="D19" i="6"/>
  <c r="F19" i="6" s="1"/>
  <c r="G19" i="6" s="1"/>
  <c r="H19" i="6" s="1"/>
  <c r="D7" i="6"/>
  <c r="E7" i="6" s="1"/>
  <c r="D11" i="6"/>
  <c r="E11" i="6" s="1"/>
  <c r="D15" i="6"/>
  <c r="E15" i="6" s="1"/>
  <c r="D3" i="6"/>
  <c r="E3" i="6" s="1"/>
  <c r="N33" i="6" l="1"/>
  <c r="E35" i="6"/>
  <c r="N35" i="6"/>
  <c r="E19" i="6"/>
  <c r="O49" i="6"/>
  <c r="P49" i="6" s="1"/>
  <c r="N47" i="6"/>
  <c r="N45" i="6"/>
  <c r="N31" i="6"/>
  <c r="F37" i="6"/>
  <c r="G37" i="6" s="1"/>
  <c r="H37" i="6" s="1"/>
  <c r="N29" i="6"/>
  <c r="N19" i="6"/>
  <c r="F31" i="6"/>
  <c r="G31" i="6" s="1"/>
  <c r="H31" i="6" s="1"/>
  <c r="F3" i="6"/>
  <c r="G3" i="6" s="1"/>
  <c r="H3" i="6" s="1"/>
  <c r="F43" i="6"/>
  <c r="G43" i="6" s="1"/>
  <c r="H43" i="6" s="1"/>
  <c r="F27" i="6"/>
  <c r="G27" i="6" s="1"/>
  <c r="H27" i="6" s="1"/>
  <c r="N3" i="6"/>
  <c r="N43" i="6"/>
  <c r="N27" i="6"/>
  <c r="F33" i="6"/>
  <c r="G33" i="6" s="1"/>
  <c r="H33" i="6" s="1"/>
  <c r="E49" i="6"/>
  <c r="F45" i="6"/>
  <c r="G45" i="6" s="1"/>
  <c r="H45" i="6" s="1"/>
  <c r="F15" i="6"/>
  <c r="G15" i="6" s="1"/>
  <c r="F41" i="6"/>
  <c r="G41" i="6" s="1"/>
  <c r="H41" i="6" s="1"/>
  <c r="I41" i="6" s="1"/>
  <c r="J41" i="6" s="1"/>
  <c r="F25" i="6"/>
  <c r="G25" i="6" s="1"/>
  <c r="H25" i="6" s="1"/>
  <c r="N7" i="6"/>
  <c r="N41" i="6"/>
  <c r="N25" i="6"/>
  <c r="O21" i="6"/>
  <c r="P21" i="6" s="1"/>
  <c r="O37" i="6"/>
  <c r="P37" i="6" s="1"/>
  <c r="F29" i="6"/>
  <c r="G29" i="6" s="1"/>
  <c r="H29" i="6" s="1"/>
  <c r="F11" i="6"/>
  <c r="G11" i="6" s="1"/>
  <c r="H11" i="6" s="1"/>
  <c r="F39" i="6"/>
  <c r="G39" i="6" s="1"/>
  <c r="H39" i="6" s="1"/>
  <c r="F23" i="6"/>
  <c r="G23" i="6" s="1"/>
  <c r="H23" i="6" s="1"/>
  <c r="N11" i="6"/>
  <c r="N39" i="6"/>
  <c r="N23" i="6"/>
  <c r="F47" i="6"/>
  <c r="G47" i="6" s="1"/>
  <c r="H47" i="6" s="1"/>
  <c r="O15" i="6"/>
  <c r="P15" i="6" s="1"/>
  <c r="F7" i="6"/>
  <c r="G7" i="6" s="1"/>
  <c r="H7" i="6" s="1"/>
  <c r="F21" i="6"/>
  <c r="G21" i="6" s="1"/>
  <c r="H21" i="6" s="1"/>
  <c r="I3" i="6" l="1"/>
  <c r="J3" i="6" s="1"/>
  <c r="I31" i="6"/>
  <c r="J31" i="6" s="1"/>
  <c r="I21" i="6"/>
  <c r="J21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collfernandezalberto@gmail.com</author>
  </authors>
  <commentList>
    <comment ref="C18" authorId="0" shapeId="0" xr:uid="{98A28D5D-BE5C-49AF-9804-12EACCFDA0C1}">
      <text>
        <r>
          <rPr>
            <sz val="9"/>
            <color indexed="81"/>
            <rFont val="Tahoma"/>
            <family val="2"/>
          </rPr>
          <t xml:space="preserve">poco fiable, menos volumen en pocillo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collfernandezalberto@gmail.com</author>
  </authors>
  <commentList>
    <comment ref="C3" authorId="0" shapeId="0" xr:uid="{B51B9C2F-8E8F-4447-91EE-4B608E6D1E59}">
      <text>
        <r>
          <rPr>
            <sz val="9"/>
            <color indexed="81"/>
            <rFont val="Tahoma"/>
            <family val="2"/>
          </rPr>
          <t>Curva muy mala, quito réplica</t>
        </r>
      </text>
    </comment>
    <comment ref="C5" authorId="0" shapeId="0" xr:uid="{3A2D860A-D93B-4108-8731-95C4452F7BE7}">
      <text>
        <r>
          <rPr>
            <sz val="9"/>
            <color indexed="81"/>
            <rFont val="Tahoma"/>
            <family val="2"/>
          </rPr>
          <t>Mala curva, quitar</t>
        </r>
      </text>
    </comment>
    <comment ref="N7" authorId="0" shapeId="0" xr:uid="{BE53D447-A745-4443-8F42-085297F74AC0}">
      <text>
        <r>
          <rPr>
            <sz val="9"/>
            <color indexed="81"/>
            <rFont val="Tahoma"/>
            <family val="2"/>
          </rPr>
          <t>Dudas en la curva, que pendiente cojo?</t>
        </r>
      </text>
    </comment>
    <comment ref="N13" authorId="0" shapeId="0" xr:uid="{1343E66A-5958-48F9-8ECB-0FAC2199044C}">
      <text>
        <r>
          <rPr>
            <sz val="9"/>
            <color indexed="81"/>
            <rFont val="Tahoma"/>
            <family val="2"/>
          </rPr>
          <t>Error muy alto entre estas dos replicas, pero ninguna de las curvas es especialmente mala.
¿Usar valores en bruto?</t>
        </r>
      </text>
    </comment>
    <comment ref="N17" authorId="0" shapeId="0" xr:uid="{898F37DA-2664-45B9-84CA-97F21EEA0EEA}">
      <text>
        <r>
          <rPr>
            <sz val="9"/>
            <color indexed="81"/>
            <rFont val="Tahoma"/>
            <family val="2"/>
          </rPr>
          <t>Replica anormalmente alta</t>
        </r>
      </text>
    </comment>
    <comment ref="D19" authorId="0" shapeId="0" xr:uid="{9A5B9E08-0014-449A-A487-A3117C589725}">
      <text>
        <r>
          <rPr>
            <b/>
            <sz val="9"/>
            <color indexed="81"/>
            <rFont val="Tahoma"/>
            <family val="2"/>
          </rPr>
          <t>Esta replica es bastante rara, revisar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2" authorId="0" shapeId="0" xr:uid="{2AC8BF93-7CAA-46F9-BE20-8462350755CA}">
      <text>
        <r>
          <rPr>
            <sz val="9"/>
            <color indexed="81"/>
            <rFont val="Tahoma"/>
            <family val="2"/>
          </rPr>
          <t xml:space="preserve">Mala curva, inajustable
</t>
        </r>
      </text>
    </comment>
    <comment ref="C40" authorId="0" shapeId="0" xr:uid="{73AB4748-14B7-4C41-A578-DDB8EC50D349}">
      <text>
        <r>
          <rPr>
            <sz val="9"/>
            <color indexed="81"/>
            <rFont val="Tahoma"/>
            <family val="2"/>
          </rPr>
          <t xml:space="preserve">Mala curva, quitar réplica
</t>
        </r>
      </text>
    </comment>
  </commentList>
</comments>
</file>

<file path=xl/sharedStrings.xml><?xml version="1.0" encoding="utf-8"?>
<sst xmlns="http://schemas.openxmlformats.org/spreadsheetml/2006/main" count="863" uniqueCount="124">
  <si>
    <t>n</t>
  </si>
  <si>
    <t xml:space="preserve">tanque </t>
  </si>
  <si>
    <t>cestillo</t>
  </si>
  <si>
    <t>IMTA</t>
  </si>
  <si>
    <t>Salobre</t>
  </si>
  <si>
    <t>5 y 7</t>
  </si>
  <si>
    <t>6 y 8</t>
  </si>
  <si>
    <t>Oscuro</t>
  </si>
  <si>
    <t>11 y 13</t>
  </si>
  <si>
    <t>12 y 14</t>
  </si>
  <si>
    <t>Control</t>
  </si>
  <si>
    <t>control</t>
  </si>
  <si>
    <t>peso inicial (g)</t>
  </si>
  <si>
    <t>Etiquetas de fila</t>
  </si>
  <si>
    <t>Total general</t>
  </si>
  <si>
    <t>Promedio de peso inicial (g)</t>
  </si>
  <si>
    <t>Cuenta de n</t>
  </si>
  <si>
    <t>peso final (g)</t>
  </si>
  <si>
    <t>tratamiento</t>
  </si>
  <si>
    <t>SOD pie</t>
  </si>
  <si>
    <t>SOD tent</t>
  </si>
  <si>
    <t>CAT pie</t>
  </si>
  <si>
    <t>CAT tent</t>
  </si>
  <si>
    <t>GPx pie</t>
  </si>
  <si>
    <t>GPX tent</t>
  </si>
  <si>
    <t>GR pie</t>
  </si>
  <si>
    <t>GR tent</t>
  </si>
  <si>
    <t>MDA pie</t>
  </si>
  <si>
    <t>MDA tent</t>
  </si>
  <si>
    <t>proteina pie</t>
  </si>
  <si>
    <t>proteina tent</t>
  </si>
  <si>
    <t>muestra</t>
  </si>
  <si>
    <t>C1</t>
  </si>
  <si>
    <t>C2</t>
  </si>
  <si>
    <t>C3</t>
  </si>
  <si>
    <t>C4</t>
  </si>
  <si>
    <t>C5</t>
  </si>
  <si>
    <t>O1</t>
  </si>
  <si>
    <t>O2</t>
  </si>
  <si>
    <t>S2</t>
  </si>
  <si>
    <t>O3</t>
  </si>
  <si>
    <t>O4</t>
  </si>
  <si>
    <t>O5</t>
  </si>
  <si>
    <t>S1</t>
  </si>
  <si>
    <t>S3</t>
  </si>
  <si>
    <t>S4</t>
  </si>
  <si>
    <t>S5</t>
  </si>
  <si>
    <t>S7</t>
  </si>
  <si>
    <t>I1</t>
  </si>
  <si>
    <t>I2</t>
  </si>
  <si>
    <t>I3</t>
  </si>
  <si>
    <t>I4</t>
  </si>
  <si>
    <t>I5</t>
  </si>
  <si>
    <t>replica</t>
  </si>
  <si>
    <t>A663</t>
  </si>
  <si>
    <t>A630</t>
  </si>
  <si>
    <t>volumen acetona (ml)</t>
  </si>
  <si>
    <t>A663 corregida</t>
  </si>
  <si>
    <t>A630 corregida</t>
  </si>
  <si>
    <t>A</t>
  </si>
  <si>
    <t>B</t>
  </si>
  <si>
    <t>peso (mg)</t>
  </si>
  <si>
    <t>clorofila a (ug/ml)</t>
  </si>
  <si>
    <t>GST tent</t>
  </si>
  <si>
    <t>clorofila total</t>
  </si>
  <si>
    <t>peso total</t>
  </si>
  <si>
    <t>GST pie</t>
  </si>
  <si>
    <t>DTD pie</t>
  </si>
  <si>
    <t>DTD tent</t>
  </si>
  <si>
    <t>TEAC tent</t>
  </si>
  <si>
    <t>TEAC pie</t>
  </si>
  <si>
    <t>Tentáculo</t>
  </si>
  <si>
    <t>Pie</t>
  </si>
  <si>
    <r>
      <rPr>
        <sz val="11"/>
        <color theme="1"/>
        <rFont val="Calibri"/>
        <family val="2"/>
      </rPr>
      <t>Δ m</t>
    </r>
    <r>
      <rPr>
        <sz val="11"/>
        <color theme="1"/>
        <rFont val="Calibri"/>
        <family val="2"/>
        <scheme val="minor"/>
      </rPr>
      <t>DO / min</t>
    </r>
  </si>
  <si>
    <t>Media</t>
  </si>
  <si>
    <r>
      <rPr>
        <sz val="11"/>
        <color theme="1"/>
        <rFont val="Calibri"/>
        <family val="2"/>
      </rPr>
      <t xml:space="preserve">Δ </t>
    </r>
    <r>
      <rPr>
        <sz val="11"/>
        <color theme="1"/>
        <rFont val="Calibri"/>
        <family val="2"/>
        <scheme val="minor"/>
      </rPr>
      <t>DO / min</t>
    </r>
  </si>
  <si>
    <t>U / ml</t>
  </si>
  <si>
    <t>Media por grupo</t>
  </si>
  <si>
    <t>% SEM</t>
  </si>
  <si>
    <t>Volumen total</t>
  </si>
  <si>
    <t>ml</t>
  </si>
  <si>
    <t>factor dilucion</t>
  </si>
  <si>
    <t>Volumen extracto</t>
  </si>
  <si>
    <t>d (paso optico)</t>
  </si>
  <si>
    <t>C. extinción</t>
  </si>
  <si>
    <t>P = proteina</t>
  </si>
  <si>
    <r>
      <t>M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cm</t>
    </r>
    <r>
      <rPr>
        <vertAlign val="superscript"/>
        <sz val="11"/>
        <color theme="1"/>
        <rFont val="Calibri"/>
        <family val="2"/>
        <scheme val="minor"/>
      </rPr>
      <t>-1</t>
    </r>
  </si>
  <si>
    <t>cm</t>
  </si>
  <si>
    <t>proteina mg/ml</t>
  </si>
  <si>
    <t>U / mg proteina</t>
  </si>
  <si>
    <t>mU /mg proteina</t>
  </si>
  <si>
    <t>clorofila c2 (ug/ml)</t>
  </si>
  <si>
    <t>clorofila total (ug/ml)</t>
  </si>
  <si>
    <t>NA</t>
  </si>
  <si>
    <t>Factor de dilución =</t>
  </si>
  <si>
    <t>Vt =</t>
  </si>
  <si>
    <t>C. extinción =</t>
  </si>
  <si>
    <t>Ve =</t>
  </si>
  <si>
    <t>d =</t>
  </si>
  <si>
    <t>mU/ml</t>
  </si>
  <si>
    <t>Concentracion (umol/L)</t>
  </si>
  <si>
    <t>Absorbancia</t>
  </si>
  <si>
    <t>Patrón</t>
  </si>
  <si>
    <t>Blanco</t>
  </si>
  <si>
    <t>Abs. Corregida</t>
  </si>
  <si>
    <t>Media grupo</t>
  </si>
  <si>
    <t>y = -0,0005x + 0,3256</t>
  </si>
  <si>
    <t>y - 0,3256 = -0,0005 x</t>
  </si>
  <si>
    <t>x = (y-0,3256)/-0,0005)</t>
  </si>
  <si>
    <t>medida</t>
  </si>
  <si>
    <t>media clor a</t>
  </si>
  <si>
    <t xml:space="preserve">%SEM </t>
  </si>
  <si>
    <t>media clor c2</t>
  </si>
  <si>
    <t>clorofila total (ug/g tejido)</t>
  </si>
  <si>
    <t>Promedio de clorofila total (ug/g tejido)</t>
  </si>
  <si>
    <t>a = 0,9009</t>
  </si>
  <si>
    <t>b = 0,3041</t>
  </si>
  <si>
    <t>Abs = a* [] + b</t>
  </si>
  <si>
    <t>[] =</t>
  </si>
  <si>
    <t>(Abs - b)/a</t>
  </si>
  <si>
    <t>Patron 1</t>
  </si>
  <si>
    <t>Concentracion (ug/uL)</t>
  </si>
  <si>
    <t>Concentracion * dilucion</t>
  </si>
  <si>
    <t>mU /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</si>
</sst>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6" borderId="0" xfId="0" applyFill="1" applyAlignment="1">
      <alignment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5" fillId="7" borderId="0" xfId="0" applyFont="1" applyFill="1" applyAlignment="1">
      <alignment horizontal="right" vertic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vertical="center"/>
    </xf>
    <xf numFmtId="165" fontId="5" fillId="0" borderId="0" xfId="0" applyNumberFormat="1" applyFont="1" applyAlignment="1">
      <alignment vertical="center"/>
    </xf>
    <xf numFmtId="165" fontId="0" fillId="0" borderId="0" xfId="0" applyNumberFormat="1"/>
    <xf numFmtId="0" fontId="0" fillId="8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10" borderId="0" xfId="0" applyFill="1"/>
    <xf numFmtId="9" fontId="2" fillId="0" borderId="0" xfId="1" applyFont="1" applyFill="1" applyAlignment="1">
      <alignment vertical="center"/>
    </xf>
    <xf numFmtId="2" fontId="0" fillId="0" borderId="0" xfId="0" applyNumberFormat="1" applyAlignment="1">
      <alignment vertical="center"/>
    </xf>
    <xf numFmtId="9" fontId="0" fillId="0" borderId="0" xfId="1" applyFont="1" applyFill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165" fontId="2" fillId="0" borderId="0" xfId="0" applyNumberFormat="1" applyFont="1"/>
    <xf numFmtId="0" fontId="0" fillId="1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13" borderId="0" xfId="0" applyFill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2" fontId="0" fillId="11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2" fillId="0" borderId="0" xfId="1" applyFont="1" applyAlignment="1">
      <alignment horizontal="center" vertical="center"/>
    </xf>
    <xf numFmtId="9" fontId="9" fillId="0" borderId="0" xfId="1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9" fontId="5" fillId="0" borderId="0" xfId="1" applyFont="1" applyAlignment="1">
      <alignment horizontal="center" vertical="center"/>
    </xf>
    <xf numFmtId="9" fontId="5" fillId="7" borderId="0" xfId="1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/>
    <xf numFmtId="0" fontId="0" fillId="0" borderId="0" xfId="0" applyFill="1"/>
    <xf numFmtId="0" fontId="0" fillId="0" borderId="0" xfId="0" applyFill="1" applyAlignment="1">
      <alignment vertical="center"/>
    </xf>
    <xf numFmtId="0" fontId="0" fillId="0" borderId="0" xfId="0" quotePrefix="1" applyAlignment="1">
      <alignment vertical="center"/>
    </xf>
    <xf numFmtId="0" fontId="11" fillId="12" borderId="0" xfId="0" applyFont="1" applyFill="1" applyAlignment="1">
      <alignment vertical="center"/>
    </xf>
    <xf numFmtId="0" fontId="9" fillId="13" borderId="0" xfId="0" applyFont="1" applyFill="1" applyAlignment="1">
      <alignment horizontal="center"/>
    </xf>
    <xf numFmtId="0" fontId="0" fillId="12" borderId="0" xfId="0" applyFill="1" applyAlignment="1">
      <alignment horizontal="center" vertical="center"/>
    </xf>
    <xf numFmtId="0" fontId="0" fillId="12" borderId="0" xfId="0" applyFill="1" applyAlignment="1">
      <alignment vertical="center"/>
    </xf>
    <xf numFmtId="9" fontId="0" fillId="12" borderId="0" xfId="1" applyFont="1" applyFill="1" applyAlignment="1">
      <alignment horizontal="center" vertical="center"/>
    </xf>
    <xf numFmtId="165" fontId="0" fillId="12" borderId="0" xfId="0" applyNumberFormat="1" applyFill="1" applyAlignment="1">
      <alignment horizontal="center" vertical="center"/>
    </xf>
    <xf numFmtId="165" fontId="11" fillId="12" borderId="0" xfId="0" applyNumberFormat="1" applyFont="1" applyFill="1" applyAlignment="1">
      <alignment horizontal="center" vertical="center"/>
    </xf>
    <xf numFmtId="165" fontId="5" fillId="12" borderId="0" xfId="0" applyNumberFormat="1" applyFont="1" applyFill="1" applyAlignment="1">
      <alignment vertical="center"/>
    </xf>
    <xf numFmtId="0" fontId="5" fillId="12" borderId="0" xfId="0" applyFont="1" applyFill="1" applyAlignment="1">
      <alignment horizontal="center" vertical="center"/>
    </xf>
    <xf numFmtId="9" fontId="5" fillId="12" borderId="0" xfId="1" applyFont="1" applyFill="1" applyAlignment="1">
      <alignment horizontal="center" vertical="center"/>
    </xf>
    <xf numFmtId="2" fontId="0" fillId="12" borderId="0" xfId="0" applyNumberFormat="1" applyFill="1" applyAlignment="1">
      <alignment horizontal="center" vertical="center"/>
    </xf>
    <xf numFmtId="165" fontId="9" fillId="12" borderId="0" xfId="0" applyNumberFormat="1" applyFont="1" applyFill="1" applyAlignment="1">
      <alignment horizontal="center" vertical="center"/>
    </xf>
    <xf numFmtId="165" fontId="9" fillId="0" borderId="0" xfId="0" applyNumberFormat="1" applyFont="1" applyFill="1" applyAlignment="1">
      <alignment horizontal="center" vertical="center"/>
    </xf>
    <xf numFmtId="2" fontId="9" fillId="0" borderId="0" xfId="0" applyNumberFormat="1" applyFont="1" applyFill="1" applyAlignment="1">
      <alignment horizontal="center" vertical="center"/>
    </xf>
    <xf numFmtId="9" fontId="9" fillId="0" borderId="0" xfId="1" applyFont="1" applyFill="1" applyAlignment="1">
      <alignment horizontal="center" vertical="center"/>
    </xf>
    <xf numFmtId="9" fontId="9" fillId="12" borderId="0" xfId="1" applyFont="1" applyFill="1" applyAlignment="1">
      <alignment horizontal="center" vertical="center"/>
    </xf>
    <xf numFmtId="0" fontId="5" fillId="12" borderId="0" xfId="0" applyFont="1" applyFill="1" applyAlignment="1">
      <alignment vertical="center"/>
    </xf>
    <xf numFmtId="165" fontId="5" fillId="12" borderId="0" xfId="0" applyNumberFormat="1" applyFont="1" applyFill="1" applyAlignment="1">
      <alignment horizontal="center" vertical="center"/>
    </xf>
    <xf numFmtId="2" fontId="5" fillId="12" borderId="0" xfId="0" applyNumberFormat="1" applyFont="1" applyFill="1" applyAlignment="1">
      <alignment horizontal="center" vertical="center"/>
    </xf>
  </cellXfs>
  <cellStyles count="2">
    <cellStyle name="Normal" xfId="0" builtinId="0"/>
    <cellStyle name="Porcentaje" xfId="1" builtinId="5"/>
  </cellStyles>
  <dxfs count="7"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numFmt numFmtId="1" formatCode="0"/>
    </dxf>
    <dxf>
      <numFmt numFmtId="1" formatCode="0"/>
    </dxf>
    <dxf>
      <numFmt numFmtId="164" formatCode="0.0"/>
    </dxf>
  </dxfs>
  <tableStyles count="0" defaultTableStyle="TableStyleMedium2" defaultPivotStyle="PivotStyleLight16"/>
  <colors>
    <mruColors>
      <color rgb="FFFF5050"/>
      <color rgb="FF00FF00"/>
      <color rgb="FF99FFCC"/>
      <color rgb="FFCC99FF"/>
      <color rgb="FFFF33CC"/>
      <color rgb="FFFEA8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[Datos TFM Alberto.xlsx]Peso!TablaDinámica1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Peso!$J$3</c:f>
              <c:strCache>
                <c:ptCount val="1"/>
                <c:pt idx="0">
                  <c:v>Cuenta de n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Peso!$H$4:$H$8</c:f>
              <c:strCache>
                <c:ptCount val="4"/>
                <c:pt idx="0">
                  <c:v>Control</c:v>
                </c:pt>
                <c:pt idx="1">
                  <c:v>IMTA</c:v>
                </c:pt>
                <c:pt idx="2">
                  <c:v>Oscuro</c:v>
                </c:pt>
                <c:pt idx="3">
                  <c:v>Salobre</c:v>
                </c:pt>
              </c:strCache>
            </c:strRef>
          </c:cat>
          <c:val>
            <c:numRef>
              <c:f>Peso!$J$4:$J$8</c:f>
              <c:numCache>
                <c:formatCode>0</c:formatCode>
                <c:ptCount val="4"/>
                <c:pt idx="0">
                  <c:v>62</c:v>
                </c:pt>
                <c:pt idx="1">
                  <c:v>71</c:v>
                </c:pt>
                <c:pt idx="2">
                  <c:v>65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E7-47D8-8F8C-1FC7496AD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70153151"/>
        <c:axId val="1970152671"/>
      </c:barChart>
      <c:lineChart>
        <c:grouping val="standard"/>
        <c:varyColors val="0"/>
        <c:ser>
          <c:idx val="0"/>
          <c:order val="0"/>
          <c:tx>
            <c:strRef>
              <c:f>Peso!$I$3</c:f>
              <c:strCache>
                <c:ptCount val="1"/>
                <c:pt idx="0">
                  <c:v>Promedio de peso inicial (g)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Peso!$H$4:$H$8</c:f>
              <c:strCache>
                <c:ptCount val="4"/>
                <c:pt idx="0">
                  <c:v>Control</c:v>
                </c:pt>
                <c:pt idx="1">
                  <c:v>IMTA</c:v>
                </c:pt>
                <c:pt idx="2">
                  <c:v>Oscuro</c:v>
                </c:pt>
                <c:pt idx="3">
                  <c:v>Salobre</c:v>
                </c:pt>
              </c:strCache>
            </c:strRef>
          </c:cat>
          <c:val>
            <c:numRef>
              <c:f>Peso!$I$4:$I$8</c:f>
              <c:numCache>
                <c:formatCode>0.0</c:formatCode>
                <c:ptCount val="4"/>
                <c:pt idx="0">
                  <c:v>20.596774193548388</c:v>
                </c:pt>
                <c:pt idx="1">
                  <c:v>16.549295774647888</c:v>
                </c:pt>
                <c:pt idx="2">
                  <c:v>14.507692307692308</c:v>
                </c:pt>
                <c:pt idx="3">
                  <c:v>14.142857142857142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E7-47D8-8F8C-1FC7496AD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999023"/>
        <c:axId val="254994223"/>
      </c:lineChart>
      <c:catAx>
        <c:axId val="25499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4994223"/>
        <c:crosses val="autoZero"/>
        <c:auto val="1"/>
        <c:lblAlgn val="ctr"/>
        <c:lblOffset val="100"/>
        <c:noMultiLvlLbl val="0"/>
      </c:catAx>
      <c:valAx>
        <c:axId val="25499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4999023"/>
        <c:crosses val="autoZero"/>
        <c:crossBetween val="between"/>
      </c:valAx>
      <c:valAx>
        <c:axId val="1970152671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0153151"/>
        <c:crosses val="max"/>
        <c:crossBetween val="between"/>
      </c:valAx>
      <c:catAx>
        <c:axId val="19701531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01526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 TFM Alberto.xlsx]Clor a+c2!TablaDinámica1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'Clor a+c2'!$W$3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'Clor a+c2'!$V$4:$V$8</c:f>
              <c:strCache>
                <c:ptCount val="4"/>
                <c:pt idx="0">
                  <c:v>Control</c:v>
                </c:pt>
                <c:pt idx="1">
                  <c:v>IMTA</c:v>
                </c:pt>
                <c:pt idx="2">
                  <c:v>Oscuro</c:v>
                </c:pt>
                <c:pt idx="3">
                  <c:v>Salobre</c:v>
                </c:pt>
              </c:strCache>
            </c:strRef>
          </c:cat>
          <c:val>
            <c:numRef>
              <c:f>'Clor a+c2'!$W$4:$W$8</c:f>
              <c:numCache>
                <c:formatCode>General</c:formatCode>
                <c:ptCount val="4"/>
                <c:pt idx="0">
                  <c:v>110.55847237195535</c:v>
                </c:pt>
                <c:pt idx="1">
                  <c:v>86.100895208512014</c:v>
                </c:pt>
                <c:pt idx="2">
                  <c:v>131.11477479267214</c:v>
                </c:pt>
                <c:pt idx="3">
                  <c:v>100.36089099290965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70-4C3E-BF4B-644D4C2E0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4818144"/>
        <c:axId val="1314818624"/>
      </c:barChart>
      <c:catAx>
        <c:axId val="131481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4818624"/>
        <c:crosses val="autoZero"/>
        <c:auto val="1"/>
        <c:lblAlgn val="ctr"/>
        <c:lblOffset val="100"/>
        <c:noMultiLvlLbl val="0"/>
      </c:catAx>
      <c:valAx>
        <c:axId val="131481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481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TEAC!$D$2</c:f>
              <c:strCache>
                <c:ptCount val="1"/>
                <c:pt idx="0">
                  <c:v>Concentracion (umol/L)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516010498687663"/>
                  <c:y val="-0.629874963546223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TEAC!$D$3:$D$14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125</c:v>
                </c:pt>
                <c:pt idx="5">
                  <c:v>125</c:v>
                </c:pt>
                <c:pt idx="6">
                  <c:v>250</c:v>
                </c:pt>
                <c:pt idx="7">
                  <c:v>250</c:v>
                </c:pt>
                <c:pt idx="8">
                  <c:v>375</c:v>
                </c:pt>
                <c:pt idx="9">
                  <c:v>375</c:v>
                </c:pt>
                <c:pt idx="10">
                  <c:v>500</c:v>
                </c:pt>
                <c:pt idx="11">
                  <c:v>500</c:v>
                </c:pt>
              </c:numCache>
            </c:numRef>
          </c:xVal>
          <c:yVal>
            <c:numRef>
              <c:f>TEAC!$C$3:$C$14</c:f>
              <c:numCache>
                <c:formatCode>General</c:formatCode>
                <c:ptCount val="12"/>
                <c:pt idx="0">
                  <c:v>0.315</c:v>
                </c:pt>
                <c:pt idx="1">
                  <c:v>0.33399999999999996</c:v>
                </c:pt>
                <c:pt idx="2">
                  <c:v>0.315</c:v>
                </c:pt>
                <c:pt idx="3">
                  <c:v>0.33599999999999997</c:v>
                </c:pt>
                <c:pt idx="4">
                  <c:v>0.26399999999999996</c:v>
                </c:pt>
                <c:pt idx="5">
                  <c:v>0.27599999999999997</c:v>
                </c:pt>
                <c:pt idx="6">
                  <c:v>0.21199999999999999</c:v>
                </c:pt>
                <c:pt idx="7">
                  <c:v>0.221</c:v>
                </c:pt>
                <c:pt idx="8">
                  <c:v>0.13600000000000001</c:v>
                </c:pt>
                <c:pt idx="9">
                  <c:v>0.14600000000000002</c:v>
                </c:pt>
                <c:pt idx="10">
                  <c:v>0.11000000000000001</c:v>
                </c:pt>
                <c:pt idx="11">
                  <c:v>9.2999999999999999E-2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D1-449C-B8C6-E0E3AB305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700384"/>
        <c:axId val="1321687424"/>
      </c:scatterChart>
      <c:valAx>
        <c:axId val="132170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1687424"/>
        <c:crosses val="autoZero"/>
        <c:crossBetween val="midCat"/>
      </c:valAx>
      <c:valAx>
        <c:axId val="13216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170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Bradford!$H$2</c:f>
              <c:strCache>
                <c:ptCount val="1"/>
                <c:pt idx="0">
                  <c:v>Concentracion (ug/uL)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093919510061242"/>
                  <c:y val="-0.161098716827063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Bradford!$H$3:$H$14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6.25E-2</c:v>
                </c:pt>
                <c:pt idx="5">
                  <c:v>6.25E-2</c:v>
                </c:pt>
                <c:pt idx="6">
                  <c:v>0.125</c:v>
                </c:pt>
                <c:pt idx="7">
                  <c:v>0.25</c:v>
                </c:pt>
                <c:pt idx="8">
                  <c:v>0.25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</c:numCache>
            </c:numRef>
          </c:xVal>
          <c:yVal>
            <c:numRef>
              <c:f>Bradford!$G$3:$G$14</c:f>
              <c:numCache>
                <c:formatCode>General</c:formatCode>
                <c:ptCount val="12"/>
                <c:pt idx="0">
                  <c:v>0.28000000000000003</c:v>
                </c:pt>
                <c:pt idx="1">
                  <c:v>0.27300000000000002</c:v>
                </c:pt>
                <c:pt idx="2">
                  <c:v>0.28499999999999998</c:v>
                </c:pt>
                <c:pt idx="3">
                  <c:v>0.28499999999999998</c:v>
                </c:pt>
                <c:pt idx="4">
                  <c:v>0.36299999999999999</c:v>
                </c:pt>
                <c:pt idx="5">
                  <c:v>0.35499999999999998</c:v>
                </c:pt>
                <c:pt idx="6">
                  <c:v>0.433</c:v>
                </c:pt>
                <c:pt idx="7">
                  <c:v>0.56000000000000005</c:v>
                </c:pt>
                <c:pt idx="8">
                  <c:v>0.50700000000000001</c:v>
                </c:pt>
                <c:pt idx="9">
                  <c:v>0.79400000000000004</c:v>
                </c:pt>
                <c:pt idx="10">
                  <c:v>0.72699999999999998</c:v>
                </c:pt>
                <c:pt idx="11">
                  <c:v>1.1990000000000001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4F-41FD-9131-AF7AE7F19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00512"/>
        <c:axId val="126593312"/>
      </c:scatterChart>
      <c:valAx>
        <c:axId val="12660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593312"/>
        <c:crosses val="autoZero"/>
        <c:crossBetween val="midCat"/>
      </c:valAx>
      <c:valAx>
        <c:axId val="12659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60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977900</xdr:colOff>
      <xdr:row>8</xdr:row>
      <xdr:rowOff>22225</xdr:rowOff>
    </xdr:from>
    <xdr:to>
      <xdr:col>12</xdr:col>
      <xdr:colOff>431800</xdr:colOff>
      <xdr:row>23</xdr:row>
      <xdr:rowOff>3175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70A60C-287E-54D0-4BD1-A73D90CEA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346075</xdr:colOff>
      <xdr:row>11</xdr:row>
      <xdr:rowOff>79375</xdr:rowOff>
    </xdr:from>
    <xdr:to>
      <xdr:col>23</xdr:col>
      <xdr:colOff>600075</xdr:colOff>
      <xdr:row>26</xdr:row>
      <xdr:rowOff>60325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4F46C52-810C-1348-A0EB-2D1EFA7C5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286806</xdr:colOff>
      <xdr:row>0</xdr:row>
      <xdr:rowOff>120578</xdr:rowOff>
    </xdr:from>
    <xdr:to>
      <xdr:col>23</xdr:col>
      <xdr:colOff>384539</xdr:colOff>
      <xdr:row>4</xdr:row>
      <xdr:rowOff>118966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DE51885-BFFE-41AB-9212-10E22EF581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49936" y="120578"/>
          <a:ext cx="3272733" cy="72725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32986</xdr:colOff>
      <xdr:row>3</xdr:row>
      <xdr:rowOff>18968</xdr:rowOff>
    </xdr:from>
    <xdr:to>
      <xdr:col>23</xdr:col>
      <xdr:colOff>468471</xdr:colOff>
      <xdr:row>7</xdr:row>
      <xdr:rowOff>56476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04D55EE-EEC5-45C6-B729-961373AC9B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70200" y="563254"/>
          <a:ext cx="3483485" cy="76322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193675</xdr:colOff>
      <xdr:row>1</xdr:row>
      <xdr:rowOff>161925</xdr:rowOff>
    </xdr:from>
    <xdr:to>
      <xdr:col>10</xdr:col>
      <xdr:colOff>263525</xdr:colOff>
      <xdr:row>16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3CFE9B8-EFC2-8B12-F0EB-348E1D2DE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455705</xdr:colOff>
      <xdr:row>6</xdr:row>
      <xdr:rowOff>81429</xdr:rowOff>
    </xdr:from>
    <xdr:to>
      <xdr:col>17</xdr:col>
      <xdr:colOff>455705</xdr:colOff>
      <xdr:row>21</xdr:row>
      <xdr:rowOff>23158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E294DC4-63E2-16B4-269F-EDA4B5D52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llfernandezalberto@gmail.com" refreshedDate="45054.365554861113" createdVersion="8" refreshedVersion="8" minRefreshableVersion="3" recordCount="268" xr:uid="{B678FC56-5EAB-4F17-91FD-6E71E1C9CB67}">
  <cacheSource type="worksheet">
    <worksheetSource ref="A1:D269" sheet="Peso"/>
  </cacheSource>
  <cacheFields count="4">
    <cacheField name="n" numFmtId="0">
      <sharedItems containsSemiMixedTypes="0" containsString="0" containsNumber="1" containsInteger="1" minValue="1" maxValue="268"/>
    </cacheField>
    <cacheField name="tanque " numFmtId="0">
      <sharedItems count="4">
        <s v="Control"/>
        <s v="IMTA"/>
        <s v="Oscuro"/>
        <s v="Salobre"/>
      </sharedItems>
    </cacheField>
    <cacheField name="cestillo" numFmtId="0">
      <sharedItems containsMixedTypes="1" containsNumber="1" containsInteger="1" minValue="1" maxValue="20" count="16">
        <n v="16"/>
        <n v="17"/>
        <n v="18"/>
        <n v="19"/>
        <n v="20"/>
        <n v="1"/>
        <n v="3"/>
        <s v="5 y 7"/>
        <n v="9"/>
        <s v="11 y 13"/>
        <s v="12 y 14"/>
        <n v="15"/>
        <n v="2"/>
        <n v="4"/>
        <s v="6 y 8"/>
        <n v="10"/>
      </sharedItems>
    </cacheField>
    <cacheField name="peso inicial (g)" numFmtId="0">
      <sharedItems containsSemiMixedTypes="0" containsString="0" containsNumber="1" containsInteger="1" minValue="2" maxValue="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llfernandezalberto@gmail.com" refreshedDate="45095.812998611109" createdVersion="8" refreshedVersion="8" minRefreshableVersion="3" recordCount="40" xr:uid="{550EF145-77A6-46F5-B42F-44123DF596E1}">
  <cacheSource type="worksheet">
    <worksheetSource ref="A1:T41" sheet="Clor a+c2"/>
  </cacheSource>
  <cacheFields count="20">
    <cacheField name="muestra" numFmtId="0">
      <sharedItems/>
    </cacheField>
    <cacheField name="tratamiento" numFmtId="0">
      <sharedItems count="4">
        <s v="Control"/>
        <s v="Oscuro"/>
        <s v="Salobre"/>
        <s v="IMTA"/>
      </sharedItems>
    </cacheField>
    <cacheField name="medida" numFmtId="0">
      <sharedItems containsSemiMixedTypes="0" containsString="0" containsNumber="1" containsInteger="1" minValue="1" maxValue="1"/>
    </cacheField>
    <cacheField name="replica" numFmtId="0">
      <sharedItems/>
    </cacheField>
    <cacheField name="peso (mg)" numFmtId="0">
      <sharedItems containsSemiMixedTypes="0" containsString="0" containsNumber="1" minValue="86.9" maxValue="109.9"/>
    </cacheField>
    <cacheField name="volumen acetona (ml)" numFmtId="0">
      <sharedItems containsSemiMixedTypes="0" containsString="0" containsNumber="1" minValue="0.9" maxValue="1"/>
    </cacheField>
    <cacheField name="A663" numFmtId="0">
      <sharedItems containsSemiMixedTypes="0" containsString="0" containsNumber="1" minValue="6.6000000000000003E-2" maxValue="0.86199999999999999"/>
    </cacheField>
    <cacheField name="A630" numFmtId="0">
      <sharedItems containsSemiMixedTypes="0" containsString="0" containsNumber="1" minValue="8.5000000000000006E-2" maxValue="0.48199999999999998"/>
    </cacheField>
    <cacheField name="A663 corregida" numFmtId="165">
      <sharedItems containsSemiMixedTypes="0" containsString="0" containsNumber="1" minValue="0.11000000000000001" maxValue="1.4366666666666668"/>
    </cacheField>
    <cacheField name="A630 corregida" numFmtId="165">
      <sharedItems containsSemiMixedTypes="0" containsString="0" containsNumber="1" minValue="0.14166666666666669" maxValue="0.80333333333333334"/>
    </cacheField>
    <cacheField name="clorofila a (ug/ml)" numFmtId="2">
      <sharedItems containsSemiMixedTypes="0" containsString="0" containsNumber="1" minValue="1.1666333333333334" maxValue="15.906966666666666"/>
    </cacheField>
    <cacheField name="media clor a" numFmtId="0">
      <sharedItems containsString="0" containsBlank="1" containsNumber="1" minValue="1.9014333333333333" maxValue="10.153924999999999"/>
    </cacheField>
    <cacheField name="%SEM " numFmtId="9">
      <sharedItems containsString="0" containsBlank="1" containsNumber="1" minValue="7.9485259147090721E-3" maxValue="0.56658303726555648"/>
    </cacheField>
    <cacheField name="clorofila c2 (ug/ml)" numFmtId="2">
      <sharedItems containsSemiMixedTypes="0" containsString="0" containsNumber="1" minValue="3.4384500000000005" maxValue="16.5472"/>
    </cacheField>
    <cacheField name="media clor c2" numFmtId="0">
      <sharedItems containsString="0" containsBlank="1" containsNumber="1" minValue="4.3477750000000004" maxValue="12.369575000000001"/>
    </cacheField>
    <cacheField name="%SEM 2" numFmtId="9">
      <sharedItems containsString="0" containsBlank="1" containsNumber="1" minValue="4.4776744356455199E-2" maxValue="0.37145781827653807"/>
    </cacheField>
    <cacheField name="clorofila total (ug/ml)" numFmtId="164">
      <sharedItems containsString="0" containsBlank="1" containsNumber="1" minValue="6.2492083333333337" maxValue="22.523499999999999"/>
    </cacheField>
    <cacheField name="clorofila total (ug/g tejido)" numFmtId="2">
      <sharedItems containsString="0" containsBlank="1" containsNumber="1" minValue="60.908463287849258" maxValue="208.93784786641928"/>
    </cacheField>
    <cacheField name="Media por grupo" numFmtId="0">
      <sharedItems containsString="0" containsBlank="1" containsNumber="1" minValue="86.100895208512014" maxValue="111.65900652423534"/>
    </cacheField>
    <cacheField name="% SEM" numFmtId="9">
      <sharedItems containsString="0" containsBlank="1" containsNumber="1" minValue="4.8885280378417002E-2" maxValue="0.118264748087873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8">
  <r>
    <n v="207"/>
    <x v="0"/>
    <x v="0"/>
    <n v="53"/>
  </r>
  <r>
    <n v="208"/>
    <x v="0"/>
    <x v="0"/>
    <n v="24"/>
  </r>
  <r>
    <n v="209"/>
    <x v="0"/>
    <x v="0"/>
    <n v="26"/>
  </r>
  <r>
    <n v="210"/>
    <x v="0"/>
    <x v="0"/>
    <n v="10"/>
  </r>
  <r>
    <n v="211"/>
    <x v="0"/>
    <x v="0"/>
    <n v="9"/>
  </r>
  <r>
    <n v="212"/>
    <x v="0"/>
    <x v="0"/>
    <n v="18"/>
  </r>
  <r>
    <n v="213"/>
    <x v="0"/>
    <x v="0"/>
    <n v="12"/>
  </r>
  <r>
    <n v="214"/>
    <x v="0"/>
    <x v="0"/>
    <n v="10"/>
  </r>
  <r>
    <n v="215"/>
    <x v="0"/>
    <x v="0"/>
    <n v="17"/>
  </r>
  <r>
    <n v="216"/>
    <x v="0"/>
    <x v="0"/>
    <n v="31"/>
  </r>
  <r>
    <n v="217"/>
    <x v="0"/>
    <x v="0"/>
    <n v="20"/>
  </r>
  <r>
    <n v="218"/>
    <x v="0"/>
    <x v="0"/>
    <n v="30"/>
  </r>
  <r>
    <n v="219"/>
    <x v="0"/>
    <x v="0"/>
    <n v="16"/>
  </r>
  <r>
    <n v="220"/>
    <x v="0"/>
    <x v="0"/>
    <n v="8"/>
  </r>
  <r>
    <n v="221"/>
    <x v="0"/>
    <x v="1"/>
    <n v="53"/>
  </r>
  <r>
    <n v="222"/>
    <x v="0"/>
    <x v="1"/>
    <n v="13"/>
  </r>
  <r>
    <n v="223"/>
    <x v="0"/>
    <x v="1"/>
    <n v="59"/>
  </r>
  <r>
    <n v="224"/>
    <x v="0"/>
    <x v="1"/>
    <n v="12"/>
  </r>
  <r>
    <n v="225"/>
    <x v="0"/>
    <x v="1"/>
    <n v="24"/>
  </r>
  <r>
    <n v="226"/>
    <x v="0"/>
    <x v="1"/>
    <n v="33"/>
  </r>
  <r>
    <n v="227"/>
    <x v="0"/>
    <x v="1"/>
    <n v="16"/>
  </r>
  <r>
    <n v="228"/>
    <x v="0"/>
    <x v="1"/>
    <n v="23"/>
  </r>
  <r>
    <n v="229"/>
    <x v="0"/>
    <x v="1"/>
    <n v="35"/>
  </r>
  <r>
    <n v="230"/>
    <x v="0"/>
    <x v="2"/>
    <n v="33"/>
  </r>
  <r>
    <n v="231"/>
    <x v="0"/>
    <x v="2"/>
    <n v="25"/>
  </r>
  <r>
    <n v="232"/>
    <x v="0"/>
    <x v="2"/>
    <n v="21"/>
  </r>
  <r>
    <n v="233"/>
    <x v="0"/>
    <x v="2"/>
    <n v="13"/>
  </r>
  <r>
    <n v="234"/>
    <x v="0"/>
    <x v="2"/>
    <n v="11"/>
  </r>
  <r>
    <n v="235"/>
    <x v="0"/>
    <x v="2"/>
    <n v="16"/>
  </r>
  <r>
    <n v="236"/>
    <x v="0"/>
    <x v="2"/>
    <n v="39"/>
  </r>
  <r>
    <n v="237"/>
    <x v="0"/>
    <x v="2"/>
    <n v="28"/>
  </r>
  <r>
    <n v="238"/>
    <x v="0"/>
    <x v="2"/>
    <n v="11"/>
  </r>
  <r>
    <n v="239"/>
    <x v="0"/>
    <x v="2"/>
    <n v="14"/>
  </r>
  <r>
    <n v="240"/>
    <x v="0"/>
    <x v="2"/>
    <n v="14"/>
  </r>
  <r>
    <n v="241"/>
    <x v="0"/>
    <x v="2"/>
    <n v="12"/>
  </r>
  <r>
    <n v="242"/>
    <x v="0"/>
    <x v="2"/>
    <n v="37"/>
  </r>
  <r>
    <n v="243"/>
    <x v="0"/>
    <x v="2"/>
    <n v="15"/>
  </r>
  <r>
    <n v="244"/>
    <x v="0"/>
    <x v="2"/>
    <n v="15"/>
  </r>
  <r>
    <n v="245"/>
    <x v="0"/>
    <x v="3"/>
    <n v="41"/>
  </r>
  <r>
    <n v="246"/>
    <x v="0"/>
    <x v="3"/>
    <n v="20"/>
  </r>
  <r>
    <n v="247"/>
    <x v="0"/>
    <x v="3"/>
    <n v="23"/>
  </r>
  <r>
    <n v="248"/>
    <x v="0"/>
    <x v="3"/>
    <n v="13"/>
  </r>
  <r>
    <n v="249"/>
    <x v="0"/>
    <x v="3"/>
    <n v="16"/>
  </r>
  <r>
    <n v="250"/>
    <x v="0"/>
    <x v="3"/>
    <n v="5"/>
  </r>
  <r>
    <n v="251"/>
    <x v="0"/>
    <x v="3"/>
    <n v="27"/>
  </r>
  <r>
    <n v="252"/>
    <x v="0"/>
    <x v="3"/>
    <n v="17"/>
  </r>
  <r>
    <n v="253"/>
    <x v="0"/>
    <x v="3"/>
    <n v="8"/>
  </r>
  <r>
    <n v="254"/>
    <x v="0"/>
    <x v="3"/>
    <n v="22"/>
  </r>
  <r>
    <n v="255"/>
    <x v="0"/>
    <x v="3"/>
    <n v="14"/>
  </r>
  <r>
    <n v="256"/>
    <x v="0"/>
    <x v="4"/>
    <n v="25"/>
  </r>
  <r>
    <n v="257"/>
    <x v="0"/>
    <x v="4"/>
    <n v="20"/>
  </r>
  <r>
    <n v="258"/>
    <x v="0"/>
    <x v="4"/>
    <n v="34"/>
  </r>
  <r>
    <n v="259"/>
    <x v="0"/>
    <x v="4"/>
    <n v="21"/>
  </r>
  <r>
    <n v="260"/>
    <x v="0"/>
    <x v="4"/>
    <n v="32"/>
  </r>
  <r>
    <n v="261"/>
    <x v="0"/>
    <x v="4"/>
    <n v="5"/>
  </r>
  <r>
    <n v="262"/>
    <x v="0"/>
    <x v="4"/>
    <n v="25"/>
  </r>
  <r>
    <n v="263"/>
    <x v="0"/>
    <x v="4"/>
    <n v="20"/>
  </r>
  <r>
    <n v="264"/>
    <x v="0"/>
    <x v="4"/>
    <n v="8"/>
  </r>
  <r>
    <n v="265"/>
    <x v="0"/>
    <x v="4"/>
    <n v="8"/>
  </r>
  <r>
    <n v="266"/>
    <x v="0"/>
    <x v="4"/>
    <n v="4"/>
  </r>
  <r>
    <n v="267"/>
    <x v="0"/>
    <x v="4"/>
    <n v="7"/>
  </r>
  <r>
    <n v="268"/>
    <x v="0"/>
    <x v="4"/>
    <n v="6"/>
  </r>
  <r>
    <n v="1"/>
    <x v="1"/>
    <x v="5"/>
    <n v="39"/>
  </r>
  <r>
    <n v="2"/>
    <x v="1"/>
    <x v="5"/>
    <n v="27"/>
  </r>
  <r>
    <n v="3"/>
    <x v="1"/>
    <x v="5"/>
    <n v="27"/>
  </r>
  <r>
    <n v="4"/>
    <x v="1"/>
    <x v="5"/>
    <n v="16"/>
  </r>
  <r>
    <n v="5"/>
    <x v="1"/>
    <x v="5"/>
    <n v="10"/>
  </r>
  <r>
    <n v="6"/>
    <x v="1"/>
    <x v="5"/>
    <n v="21"/>
  </r>
  <r>
    <n v="7"/>
    <x v="1"/>
    <x v="5"/>
    <n v="8"/>
  </r>
  <r>
    <n v="8"/>
    <x v="1"/>
    <x v="5"/>
    <n v="43"/>
  </r>
  <r>
    <n v="9"/>
    <x v="1"/>
    <x v="5"/>
    <n v="14"/>
  </r>
  <r>
    <n v="10"/>
    <x v="1"/>
    <x v="5"/>
    <n v="17"/>
  </r>
  <r>
    <n v="11"/>
    <x v="1"/>
    <x v="5"/>
    <n v="5"/>
  </r>
  <r>
    <n v="12"/>
    <x v="1"/>
    <x v="5"/>
    <n v="19"/>
  </r>
  <r>
    <n v="13"/>
    <x v="1"/>
    <x v="5"/>
    <n v="19"/>
  </r>
  <r>
    <n v="14"/>
    <x v="1"/>
    <x v="5"/>
    <n v="21"/>
  </r>
  <r>
    <n v="15"/>
    <x v="1"/>
    <x v="5"/>
    <n v="25"/>
  </r>
  <r>
    <n v="16"/>
    <x v="1"/>
    <x v="5"/>
    <n v="11"/>
  </r>
  <r>
    <n v="17"/>
    <x v="1"/>
    <x v="5"/>
    <n v="4"/>
  </r>
  <r>
    <n v="18"/>
    <x v="1"/>
    <x v="5"/>
    <n v="13"/>
  </r>
  <r>
    <n v="19"/>
    <x v="1"/>
    <x v="5"/>
    <n v="15"/>
  </r>
  <r>
    <n v="20"/>
    <x v="1"/>
    <x v="5"/>
    <n v="8"/>
  </r>
  <r>
    <n v="21"/>
    <x v="1"/>
    <x v="5"/>
    <n v="25"/>
  </r>
  <r>
    <n v="22"/>
    <x v="1"/>
    <x v="5"/>
    <n v="22"/>
  </r>
  <r>
    <n v="42"/>
    <x v="1"/>
    <x v="6"/>
    <n v="14"/>
  </r>
  <r>
    <n v="43"/>
    <x v="1"/>
    <x v="6"/>
    <n v="15"/>
  </r>
  <r>
    <n v="44"/>
    <x v="1"/>
    <x v="6"/>
    <n v="16"/>
  </r>
  <r>
    <n v="45"/>
    <x v="1"/>
    <x v="6"/>
    <n v="34"/>
  </r>
  <r>
    <n v="46"/>
    <x v="1"/>
    <x v="6"/>
    <n v="21"/>
  </r>
  <r>
    <n v="47"/>
    <x v="1"/>
    <x v="6"/>
    <n v="11"/>
  </r>
  <r>
    <n v="48"/>
    <x v="1"/>
    <x v="6"/>
    <n v="28"/>
  </r>
  <r>
    <n v="49"/>
    <x v="1"/>
    <x v="6"/>
    <n v="8"/>
  </r>
  <r>
    <n v="50"/>
    <x v="1"/>
    <x v="6"/>
    <n v="15"/>
  </r>
  <r>
    <n v="51"/>
    <x v="1"/>
    <x v="6"/>
    <n v="12"/>
  </r>
  <r>
    <n v="52"/>
    <x v="1"/>
    <x v="6"/>
    <n v="22"/>
  </r>
  <r>
    <n v="53"/>
    <x v="1"/>
    <x v="6"/>
    <n v="16"/>
  </r>
  <r>
    <n v="54"/>
    <x v="1"/>
    <x v="6"/>
    <n v="7"/>
  </r>
  <r>
    <n v="55"/>
    <x v="1"/>
    <x v="6"/>
    <n v="26"/>
  </r>
  <r>
    <n v="56"/>
    <x v="1"/>
    <x v="6"/>
    <n v="21"/>
  </r>
  <r>
    <n v="57"/>
    <x v="1"/>
    <x v="6"/>
    <n v="15"/>
  </r>
  <r>
    <n v="58"/>
    <x v="1"/>
    <x v="6"/>
    <n v="11"/>
  </r>
  <r>
    <n v="59"/>
    <x v="1"/>
    <x v="6"/>
    <n v="11"/>
  </r>
  <r>
    <n v="75"/>
    <x v="1"/>
    <x v="7"/>
    <n v="7"/>
  </r>
  <r>
    <n v="76"/>
    <x v="1"/>
    <x v="7"/>
    <n v="18"/>
  </r>
  <r>
    <n v="77"/>
    <x v="1"/>
    <x v="7"/>
    <n v="9"/>
  </r>
  <r>
    <n v="78"/>
    <x v="1"/>
    <x v="7"/>
    <n v="19"/>
  </r>
  <r>
    <n v="79"/>
    <x v="1"/>
    <x v="7"/>
    <n v="26"/>
  </r>
  <r>
    <n v="80"/>
    <x v="1"/>
    <x v="7"/>
    <n v="21"/>
  </r>
  <r>
    <n v="81"/>
    <x v="1"/>
    <x v="7"/>
    <n v="42"/>
  </r>
  <r>
    <n v="82"/>
    <x v="1"/>
    <x v="7"/>
    <n v="16"/>
  </r>
  <r>
    <n v="83"/>
    <x v="1"/>
    <x v="7"/>
    <n v="14"/>
  </r>
  <r>
    <n v="84"/>
    <x v="1"/>
    <x v="7"/>
    <n v="14"/>
  </r>
  <r>
    <n v="85"/>
    <x v="1"/>
    <x v="7"/>
    <n v="28"/>
  </r>
  <r>
    <n v="86"/>
    <x v="1"/>
    <x v="7"/>
    <n v="20"/>
  </r>
  <r>
    <n v="87"/>
    <x v="1"/>
    <x v="7"/>
    <n v="9"/>
  </r>
  <r>
    <n v="88"/>
    <x v="1"/>
    <x v="7"/>
    <n v="12"/>
  </r>
  <r>
    <n v="89"/>
    <x v="1"/>
    <x v="7"/>
    <n v="8"/>
  </r>
  <r>
    <n v="90"/>
    <x v="1"/>
    <x v="7"/>
    <n v="17"/>
  </r>
  <r>
    <n v="91"/>
    <x v="1"/>
    <x v="7"/>
    <n v="8"/>
  </r>
  <r>
    <n v="92"/>
    <x v="1"/>
    <x v="7"/>
    <n v="11"/>
  </r>
  <r>
    <n v="93"/>
    <x v="1"/>
    <x v="7"/>
    <n v="8"/>
  </r>
  <r>
    <n v="94"/>
    <x v="1"/>
    <x v="7"/>
    <n v="13"/>
  </r>
  <r>
    <n v="117"/>
    <x v="1"/>
    <x v="8"/>
    <n v="8"/>
  </r>
  <r>
    <n v="118"/>
    <x v="1"/>
    <x v="8"/>
    <n v="2"/>
  </r>
  <r>
    <n v="119"/>
    <x v="1"/>
    <x v="8"/>
    <n v="17"/>
  </r>
  <r>
    <n v="120"/>
    <x v="1"/>
    <x v="8"/>
    <n v="7"/>
  </r>
  <r>
    <n v="121"/>
    <x v="1"/>
    <x v="8"/>
    <n v="19"/>
  </r>
  <r>
    <n v="122"/>
    <x v="1"/>
    <x v="8"/>
    <n v="8"/>
  </r>
  <r>
    <n v="123"/>
    <x v="1"/>
    <x v="8"/>
    <n v="18"/>
  </r>
  <r>
    <n v="124"/>
    <x v="1"/>
    <x v="8"/>
    <n v="7"/>
  </r>
  <r>
    <n v="125"/>
    <x v="1"/>
    <x v="8"/>
    <n v="17"/>
  </r>
  <r>
    <n v="126"/>
    <x v="1"/>
    <x v="8"/>
    <n v="17"/>
  </r>
  <r>
    <n v="127"/>
    <x v="1"/>
    <x v="8"/>
    <n v="23"/>
  </r>
  <r>
    <n v="142"/>
    <x v="2"/>
    <x v="9"/>
    <n v="19"/>
  </r>
  <r>
    <n v="143"/>
    <x v="2"/>
    <x v="9"/>
    <n v="21"/>
  </r>
  <r>
    <n v="144"/>
    <x v="2"/>
    <x v="9"/>
    <n v="14"/>
  </r>
  <r>
    <n v="145"/>
    <x v="2"/>
    <x v="9"/>
    <n v="12"/>
  </r>
  <r>
    <n v="146"/>
    <x v="2"/>
    <x v="9"/>
    <n v="22"/>
  </r>
  <r>
    <n v="147"/>
    <x v="2"/>
    <x v="9"/>
    <n v="11"/>
  </r>
  <r>
    <n v="148"/>
    <x v="2"/>
    <x v="9"/>
    <n v="7"/>
  </r>
  <r>
    <n v="149"/>
    <x v="2"/>
    <x v="9"/>
    <n v="21"/>
  </r>
  <r>
    <n v="150"/>
    <x v="2"/>
    <x v="9"/>
    <n v="16"/>
  </r>
  <r>
    <n v="151"/>
    <x v="2"/>
    <x v="9"/>
    <n v="15"/>
  </r>
  <r>
    <n v="152"/>
    <x v="2"/>
    <x v="9"/>
    <n v="25"/>
  </r>
  <r>
    <n v="153"/>
    <x v="2"/>
    <x v="9"/>
    <n v="10"/>
  </r>
  <r>
    <n v="154"/>
    <x v="2"/>
    <x v="9"/>
    <n v="18"/>
  </r>
  <r>
    <n v="155"/>
    <x v="2"/>
    <x v="9"/>
    <n v="23"/>
  </r>
  <r>
    <n v="156"/>
    <x v="2"/>
    <x v="9"/>
    <n v="15"/>
  </r>
  <r>
    <n v="157"/>
    <x v="2"/>
    <x v="9"/>
    <n v="11"/>
  </r>
  <r>
    <n v="158"/>
    <x v="2"/>
    <x v="9"/>
    <n v="11"/>
  </r>
  <r>
    <n v="159"/>
    <x v="2"/>
    <x v="9"/>
    <n v="8"/>
  </r>
  <r>
    <n v="160"/>
    <x v="2"/>
    <x v="9"/>
    <n v="10"/>
  </r>
  <r>
    <n v="161"/>
    <x v="2"/>
    <x v="9"/>
    <n v="9"/>
  </r>
  <r>
    <n v="162"/>
    <x v="2"/>
    <x v="9"/>
    <n v="13"/>
  </r>
  <r>
    <n v="163"/>
    <x v="2"/>
    <x v="9"/>
    <n v="5"/>
  </r>
  <r>
    <n v="164"/>
    <x v="2"/>
    <x v="9"/>
    <n v="7"/>
  </r>
  <r>
    <n v="165"/>
    <x v="2"/>
    <x v="9"/>
    <n v="5"/>
  </r>
  <r>
    <n v="166"/>
    <x v="2"/>
    <x v="10"/>
    <n v="57"/>
  </r>
  <r>
    <n v="167"/>
    <x v="2"/>
    <x v="10"/>
    <n v="11"/>
  </r>
  <r>
    <n v="168"/>
    <x v="2"/>
    <x v="10"/>
    <n v="17"/>
  </r>
  <r>
    <n v="169"/>
    <x v="2"/>
    <x v="10"/>
    <n v="8"/>
  </r>
  <r>
    <n v="170"/>
    <x v="2"/>
    <x v="10"/>
    <n v="13"/>
  </r>
  <r>
    <n v="171"/>
    <x v="2"/>
    <x v="10"/>
    <n v="39"/>
  </r>
  <r>
    <n v="172"/>
    <x v="2"/>
    <x v="10"/>
    <n v="16"/>
  </r>
  <r>
    <n v="173"/>
    <x v="2"/>
    <x v="10"/>
    <n v="21"/>
  </r>
  <r>
    <n v="174"/>
    <x v="2"/>
    <x v="10"/>
    <n v="16"/>
  </r>
  <r>
    <n v="175"/>
    <x v="2"/>
    <x v="10"/>
    <n v="10"/>
  </r>
  <r>
    <n v="176"/>
    <x v="2"/>
    <x v="10"/>
    <n v="8"/>
  </r>
  <r>
    <n v="177"/>
    <x v="2"/>
    <x v="10"/>
    <n v="7"/>
  </r>
  <r>
    <n v="178"/>
    <x v="2"/>
    <x v="10"/>
    <n v="14"/>
  </r>
  <r>
    <n v="179"/>
    <x v="2"/>
    <x v="10"/>
    <n v="17"/>
  </r>
  <r>
    <n v="180"/>
    <x v="2"/>
    <x v="10"/>
    <n v="22"/>
  </r>
  <r>
    <n v="181"/>
    <x v="2"/>
    <x v="10"/>
    <n v="7"/>
  </r>
  <r>
    <n v="182"/>
    <x v="2"/>
    <x v="10"/>
    <n v="17"/>
  </r>
  <r>
    <n v="183"/>
    <x v="2"/>
    <x v="10"/>
    <n v="21"/>
  </r>
  <r>
    <n v="184"/>
    <x v="2"/>
    <x v="10"/>
    <n v="7"/>
  </r>
  <r>
    <n v="185"/>
    <x v="2"/>
    <x v="10"/>
    <n v="34"/>
  </r>
  <r>
    <n v="186"/>
    <x v="2"/>
    <x v="10"/>
    <n v="11"/>
  </r>
  <r>
    <n v="187"/>
    <x v="2"/>
    <x v="10"/>
    <n v="13"/>
  </r>
  <r>
    <n v="188"/>
    <x v="2"/>
    <x v="10"/>
    <n v="28"/>
  </r>
  <r>
    <n v="189"/>
    <x v="2"/>
    <x v="10"/>
    <n v="12"/>
  </r>
  <r>
    <n v="190"/>
    <x v="2"/>
    <x v="10"/>
    <n v="6"/>
  </r>
  <r>
    <n v="191"/>
    <x v="2"/>
    <x v="10"/>
    <n v="7"/>
  </r>
  <r>
    <n v="192"/>
    <x v="2"/>
    <x v="10"/>
    <n v="6"/>
  </r>
  <r>
    <n v="193"/>
    <x v="2"/>
    <x v="11"/>
    <n v="33"/>
  </r>
  <r>
    <n v="194"/>
    <x v="2"/>
    <x v="11"/>
    <n v="11"/>
  </r>
  <r>
    <n v="195"/>
    <x v="2"/>
    <x v="11"/>
    <n v="8"/>
  </r>
  <r>
    <n v="196"/>
    <x v="2"/>
    <x v="11"/>
    <n v="6"/>
  </r>
  <r>
    <n v="197"/>
    <x v="2"/>
    <x v="11"/>
    <n v="18"/>
  </r>
  <r>
    <n v="198"/>
    <x v="2"/>
    <x v="11"/>
    <n v="9"/>
  </r>
  <r>
    <n v="199"/>
    <x v="2"/>
    <x v="11"/>
    <n v="10"/>
  </r>
  <r>
    <n v="200"/>
    <x v="2"/>
    <x v="11"/>
    <n v="20"/>
  </r>
  <r>
    <n v="201"/>
    <x v="2"/>
    <x v="11"/>
    <n v="5"/>
  </r>
  <r>
    <n v="202"/>
    <x v="2"/>
    <x v="11"/>
    <n v="9"/>
  </r>
  <r>
    <n v="203"/>
    <x v="2"/>
    <x v="11"/>
    <n v="15"/>
  </r>
  <r>
    <n v="204"/>
    <x v="2"/>
    <x v="11"/>
    <n v="5"/>
  </r>
  <r>
    <n v="205"/>
    <x v="2"/>
    <x v="11"/>
    <n v="10"/>
  </r>
  <r>
    <n v="206"/>
    <x v="2"/>
    <x v="11"/>
    <n v="11"/>
  </r>
  <r>
    <n v="23"/>
    <x v="3"/>
    <x v="12"/>
    <n v="17"/>
  </r>
  <r>
    <n v="24"/>
    <x v="3"/>
    <x v="12"/>
    <n v="19"/>
  </r>
  <r>
    <n v="25"/>
    <x v="3"/>
    <x v="12"/>
    <n v="5"/>
  </r>
  <r>
    <n v="26"/>
    <x v="3"/>
    <x v="12"/>
    <n v="16"/>
  </r>
  <r>
    <n v="27"/>
    <x v="3"/>
    <x v="12"/>
    <n v="20"/>
  </r>
  <r>
    <n v="28"/>
    <x v="3"/>
    <x v="12"/>
    <n v="6"/>
  </r>
  <r>
    <n v="29"/>
    <x v="3"/>
    <x v="12"/>
    <n v="8"/>
  </r>
  <r>
    <n v="30"/>
    <x v="3"/>
    <x v="12"/>
    <n v="4"/>
  </r>
  <r>
    <n v="31"/>
    <x v="3"/>
    <x v="12"/>
    <n v="10"/>
  </r>
  <r>
    <n v="32"/>
    <x v="3"/>
    <x v="12"/>
    <n v="16"/>
  </r>
  <r>
    <n v="33"/>
    <x v="3"/>
    <x v="12"/>
    <n v="14"/>
  </r>
  <r>
    <n v="34"/>
    <x v="3"/>
    <x v="12"/>
    <n v="4"/>
  </r>
  <r>
    <n v="35"/>
    <x v="3"/>
    <x v="12"/>
    <n v="13"/>
  </r>
  <r>
    <n v="36"/>
    <x v="3"/>
    <x v="12"/>
    <n v="3"/>
  </r>
  <r>
    <n v="37"/>
    <x v="3"/>
    <x v="12"/>
    <n v="18"/>
  </r>
  <r>
    <n v="38"/>
    <x v="3"/>
    <x v="12"/>
    <n v="17"/>
  </r>
  <r>
    <n v="39"/>
    <x v="3"/>
    <x v="12"/>
    <n v="18"/>
  </r>
  <r>
    <n v="40"/>
    <x v="3"/>
    <x v="12"/>
    <n v="11"/>
  </r>
  <r>
    <n v="41"/>
    <x v="3"/>
    <x v="12"/>
    <n v="12"/>
  </r>
  <r>
    <n v="60"/>
    <x v="3"/>
    <x v="13"/>
    <n v="18"/>
  </r>
  <r>
    <n v="61"/>
    <x v="3"/>
    <x v="13"/>
    <n v="19"/>
  </r>
  <r>
    <n v="62"/>
    <x v="3"/>
    <x v="13"/>
    <n v="8"/>
  </r>
  <r>
    <n v="63"/>
    <x v="3"/>
    <x v="13"/>
    <n v="21"/>
  </r>
  <r>
    <n v="64"/>
    <x v="3"/>
    <x v="13"/>
    <n v="13"/>
  </r>
  <r>
    <n v="65"/>
    <x v="3"/>
    <x v="13"/>
    <n v="14"/>
  </r>
  <r>
    <n v="66"/>
    <x v="3"/>
    <x v="13"/>
    <n v="18"/>
  </r>
  <r>
    <n v="67"/>
    <x v="3"/>
    <x v="13"/>
    <n v="7"/>
  </r>
  <r>
    <n v="68"/>
    <x v="3"/>
    <x v="13"/>
    <n v="17"/>
  </r>
  <r>
    <n v="69"/>
    <x v="3"/>
    <x v="13"/>
    <n v="6"/>
  </r>
  <r>
    <n v="70"/>
    <x v="3"/>
    <x v="13"/>
    <n v="10"/>
  </r>
  <r>
    <n v="71"/>
    <x v="3"/>
    <x v="13"/>
    <n v="6"/>
  </r>
  <r>
    <n v="72"/>
    <x v="3"/>
    <x v="13"/>
    <n v="8"/>
  </r>
  <r>
    <n v="73"/>
    <x v="3"/>
    <x v="13"/>
    <n v="12"/>
  </r>
  <r>
    <n v="74"/>
    <x v="3"/>
    <x v="13"/>
    <n v="9"/>
  </r>
  <r>
    <n v="95"/>
    <x v="3"/>
    <x v="14"/>
    <n v="3"/>
  </r>
  <r>
    <n v="96"/>
    <x v="3"/>
    <x v="14"/>
    <n v="10"/>
  </r>
  <r>
    <n v="97"/>
    <x v="3"/>
    <x v="14"/>
    <n v="9"/>
  </r>
  <r>
    <n v="98"/>
    <x v="3"/>
    <x v="14"/>
    <n v="33"/>
  </r>
  <r>
    <n v="99"/>
    <x v="3"/>
    <x v="14"/>
    <n v="22"/>
  </r>
  <r>
    <n v="100"/>
    <x v="3"/>
    <x v="14"/>
    <n v="11"/>
  </r>
  <r>
    <n v="101"/>
    <x v="3"/>
    <x v="14"/>
    <n v="24"/>
  </r>
  <r>
    <n v="102"/>
    <x v="3"/>
    <x v="14"/>
    <n v="6"/>
  </r>
  <r>
    <n v="103"/>
    <x v="3"/>
    <x v="14"/>
    <n v="24"/>
  </r>
  <r>
    <n v="104"/>
    <x v="3"/>
    <x v="14"/>
    <n v="13"/>
  </r>
  <r>
    <n v="105"/>
    <x v="3"/>
    <x v="14"/>
    <n v="10"/>
  </r>
  <r>
    <n v="106"/>
    <x v="3"/>
    <x v="14"/>
    <n v="36"/>
  </r>
  <r>
    <n v="107"/>
    <x v="3"/>
    <x v="14"/>
    <n v="8"/>
  </r>
  <r>
    <n v="108"/>
    <x v="3"/>
    <x v="14"/>
    <n v="10"/>
  </r>
  <r>
    <n v="109"/>
    <x v="3"/>
    <x v="14"/>
    <n v="8"/>
  </r>
  <r>
    <n v="110"/>
    <x v="3"/>
    <x v="14"/>
    <n v="8"/>
  </r>
  <r>
    <n v="111"/>
    <x v="3"/>
    <x v="14"/>
    <n v="16"/>
  </r>
  <r>
    <n v="112"/>
    <x v="3"/>
    <x v="14"/>
    <n v="9"/>
  </r>
  <r>
    <n v="113"/>
    <x v="3"/>
    <x v="14"/>
    <n v="19"/>
  </r>
  <r>
    <n v="114"/>
    <x v="3"/>
    <x v="14"/>
    <n v="16"/>
  </r>
  <r>
    <n v="115"/>
    <x v="3"/>
    <x v="14"/>
    <n v="15"/>
  </r>
  <r>
    <n v="116"/>
    <x v="3"/>
    <x v="14"/>
    <n v="17"/>
  </r>
  <r>
    <n v="128"/>
    <x v="3"/>
    <x v="15"/>
    <n v="16"/>
  </r>
  <r>
    <n v="129"/>
    <x v="3"/>
    <x v="15"/>
    <n v="17"/>
  </r>
  <r>
    <n v="130"/>
    <x v="3"/>
    <x v="15"/>
    <n v="35"/>
  </r>
  <r>
    <n v="131"/>
    <x v="3"/>
    <x v="15"/>
    <n v="16"/>
  </r>
  <r>
    <n v="132"/>
    <x v="3"/>
    <x v="15"/>
    <n v="29"/>
  </r>
  <r>
    <n v="133"/>
    <x v="3"/>
    <x v="15"/>
    <n v="11"/>
  </r>
  <r>
    <n v="134"/>
    <x v="3"/>
    <x v="15"/>
    <n v="24"/>
  </r>
  <r>
    <n v="135"/>
    <x v="3"/>
    <x v="15"/>
    <n v="12"/>
  </r>
  <r>
    <n v="136"/>
    <x v="3"/>
    <x v="15"/>
    <n v="15"/>
  </r>
  <r>
    <n v="137"/>
    <x v="3"/>
    <x v="15"/>
    <n v="26"/>
  </r>
  <r>
    <n v="138"/>
    <x v="3"/>
    <x v="15"/>
    <n v="17"/>
  </r>
  <r>
    <n v="139"/>
    <x v="3"/>
    <x v="15"/>
    <n v="12"/>
  </r>
  <r>
    <n v="140"/>
    <x v="3"/>
    <x v="15"/>
    <n v="11"/>
  </r>
  <r>
    <n v="141"/>
    <x v="3"/>
    <x v="15"/>
    <n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s v="C1"/>
    <x v="0"/>
    <n v="1"/>
    <s v="A"/>
    <n v="108.5"/>
    <n v="1"/>
    <n v="0.16300000000000001"/>
    <n v="9.8000000000000004E-2"/>
    <n v="0.27166666666666667"/>
    <n v="0.16333333333333336"/>
    <n v="3.0006166666666667"/>
    <n v="5.5617833333333326"/>
    <n v="0.46049378646537242"/>
    <n v="3.4385500000000007"/>
    <n v="5.470675"/>
    <n v="0.37145781827653807"/>
    <n v="11.032458333333333"/>
    <n v="101.68164362519201"/>
    <n v="110.55847237195535"/>
    <n v="0.11826474808787323"/>
  </r>
  <r>
    <s v="C1"/>
    <x v="0"/>
    <n v="1"/>
    <s v="B"/>
    <n v="102.5"/>
    <n v="1"/>
    <n v="0.439"/>
    <n v="0.22500000000000001"/>
    <n v="0.73166666666666669"/>
    <n v="0.375"/>
    <n v="8.1229499999999994"/>
    <m/>
    <m/>
    <n v="7.5027999999999997"/>
    <m/>
    <m/>
    <m/>
    <m/>
    <m/>
    <m/>
  </r>
  <r>
    <s v="C2"/>
    <x v="0"/>
    <n v="1"/>
    <s v="A"/>
    <n v="102.5"/>
    <n v="1"/>
    <n v="0.20899999999999999"/>
    <n v="0.152"/>
    <n v="0.34833333333333333"/>
    <n v="0.25333333333333335"/>
    <n v="3.8193166666666665"/>
    <n v="2.76905"/>
    <n v="0.37928772202259475"/>
    <n v="5.5983500000000008"/>
    <n v="5.2373250000000002"/>
    <n v="6.8933090843130901E-2"/>
    <n v="8.0063750000000002"/>
    <n v="78.11097560975611"/>
    <m/>
    <m/>
  </r>
  <r>
    <s v="C2"/>
    <x v="0"/>
    <n v="1"/>
    <s v="B"/>
    <n v="109.9"/>
    <n v="1"/>
    <n v="9.7000000000000003E-2"/>
    <n v="0.121"/>
    <n v="0.16166666666666668"/>
    <n v="0.20166666666666666"/>
    <n v="1.7187833333333336"/>
    <m/>
    <m/>
    <n v="4.8762999999999996"/>
    <m/>
    <m/>
    <m/>
    <m/>
    <m/>
    <m/>
  </r>
  <r>
    <s v="C3"/>
    <x v="0"/>
    <n v="1"/>
    <s v="A"/>
    <n v="98.2"/>
    <n v="1"/>
    <n v="0.2"/>
    <n v="0.13"/>
    <n v="0.33333333333333337"/>
    <n v="0.21666666666666667"/>
    <n v="3.671333333333334"/>
    <n v="5.9622916666666672"/>
    <n v="0.38424123833816654"/>
    <n v="4.6595000000000004"/>
    <n v="5.7243750000000002"/>
    <n v="0.18602467518287988"/>
    <n v="11.686666666666667"/>
    <n v="119.00882552613714"/>
    <m/>
    <m/>
  </r>
  <r>
    <s v="C3"/>
    <x v="0"/>
    <n v="1"/>
    <s v="B"/>
    <n v="106.4"/>
    <n v="1"/>
    <n v="0.44500000000000001"/>
    <n v="0.21"/>
    <n v="0.7416666666666667"/>
    <n v="0.35"/>
    <n v="8.2532499999999995"/>
    <m/>
    <m/>
    <n v="6.7892499999999991"/>
    <m/>
    <m/>
    <m/>
    <m/>
    <m/>
    <m/>
  </r>
  <r>
    <s v="C4"/>
    <x v="0"/>
    <n v="1"/>
    <s v="A"/>
    <n v="86.9"/>
    <n v="0.9"/>
    <n v="0.27200000000000002"/>
    <n v="0.159"/>
    <n v="0.45333333333333337"/>
    <n v="0.26500000000000001"/>
    <n v="5.0120000000000005"/>
    <n v="4.6798416666666665"/>
    <n v="7.097640411623618E-2"/>
    <n v="5.5332500000000007"/>
    <n v="4.7873250000000001"/>
    <n v="0.15581248400724867"/>
    <n v="9.4671666666666674"/>
    <n v="98.048906789413124"/>
    <m/>
    <m/>
  </r>
  <r>
    <s v="C4"/>
    <x v="0"/>
    <n v="1"/>
    <s v="B"/>
    <n v="93"/>
    <n v="1"/>
    <n v="0.23499999999999999"/>
    <n v="0.121"/>
    <n v="0.39166666666666666"/>
    <n v="0.20166666666666666"/>
    <n v="4.3476833333333333"/>
    <m/>
    <m/>
    <n v="4.0413999999999994"/>
    <m/>
    <m/>
    <m/>
    <m/>
    <m/>
    <m/>
  </r>
  <r>
    <s v="C5"/>
    <x v="0"/>
    <n v="1"/>
    <s v="A"/>
    <n v="97"/>
    <n v="1"/>
    <n v="0.48399999999999999"/>
    <n v="0.25"/>
    <n v="0.80666666666666664"/>
    <n v="0.41666666666666669"/>
    <n v="8.9535333333333327"/>
    <n v="7.292675"/>
    <n v="0.22774336348916344"/>
    <n v="8.3592999999999993"/>
    <n v="7.8337000000000003"/>
    <n v="6.7094731735961158E-2"/>
    <n v="15.126374999999999"/>
    <n v="155.94201030927834"/>
    <m/>
    <m/>
  </r>
  <r>
    <s v="C5"/>
    <x v="0"/>
    <n v="1"/>
    <s v="B"/>
    <n v="99.7"/>
    <n v="1"/>
    <n v="0.307"/>
    <n v="0.20300000000000001"/>
    <n v="0.51166666666666671"/>
    <n v="0.33833333333333337"/>
    <n v="5.6318166666666674"/>
    <m/>
    <m/>
    <n v="7.3081000000000014"/>
    <m/>
    <m/>
    <m/>
    <m/>
    <m/>
    <m/>
  </r>
  <r>
    <s v="O1"/>
    <x v="1"/>
    <n v="1"/>
    <s v="A"/>
    <n v="106.7"/>
    <n v="1"/>
    <n v="0.14000000000000001"/>
    <n v="0.20499999999999999"/>
    <n v="0.23333333333333336"/>
    <n v="0.34166666666666667"/>
    <n v="2.4483333333333337"/>
    <n v="3.2528500000000005"/>
    <n v="0.24732670324997019"/>
    <n v="8.4087500000000013"/>
    <n v="7.1674000000000007"/>
    <n v="0.17319390573987833"/>
    <n v="10.420250000000001"/>
    <n v="97.6593252108716"/>
    <n v="111.65900652423534"/>
    <n v="7.8914020481816338E-2"/>
  </r>
  <r>
    <s v="O1"/>
    <x v="1"/>
    <n v="1"/>
    <s v="B"/>
    <n v="102"/>
    <n v="1"/>
    <n v="0.222"/>
    <n v="0.161"/>
    <n v="0.37"/>
    <n v="0.26833333333333337"/>
    <n v="4.0573666666666668"/>
    <m/>
    <m/>
    <n v="5.9260500000000009"/>
    <m/>
    <m/>
    <m/>
    <m/>
    <m/>
    <m/>
  </r>
  <r>
    <s v="O2"/>
    <x v="1"/>
    <n v="1"/>
    <s v="A"/>
    <n v="106.7"/>
    <n v="1"/>
    <n v="0.23699999999999999"/>
    <n v="0.20499999999999999"/>
    <n v="0.39500000000000002"/>
    <n v="0.34166666666666667"/>
    <n v="4.2961833333333335"/>
    <n v="3.7021250000000001"/>
    <n v="0.16046414784301818"/>
    <n v="7.8219000000000012"/>
    <n v="6.9575000000000014"/>
    <n v="0.12424002874595741"/>
    <n v="10.659625000000002"/>
    <n v="99.902764761012193"/>
    <m/>
    <m/>
  </r>
  <r>
    <s v="O2"/>
    <x v="1"/>
    <n v="1"/>
    <s v="B"/>
    <n v="103.5"/>
    <n v="1"/>
    <n v="0.17199999999999999"/>
    <n v="0.158"/>
    <n v="0.28666666666666668"/>
    <n v="0.26333333333333336"/>
    <n v="3.1080666666666668"/>
    <m/>
    <m/>
    <n v="6.0931000000000015"/>
    <m/>
    <m/>
    <m/>
    <m/>
    <m/>
    <m/>
  </r>
  <r>
    <s v="O3"/>
    <x v="1"/>
    <n v="1"/>
    <s v="A"/>
    <n v="107.8"/>
    <n v="1"/>
    <n v="0.24299999999999999"/>
    <n v="0.214"/>
    <n v="0.40500000000000003"/>
    <n v="0.35666666666666669"/>
    <n v="4.4008833333333337"/>
    <n v="10.153924999999999"/>
    <n v="0.56658303726555648"/>
    <n v="8.1919500000000003"/>
    <n v="12.369575000000001"/>
    <n v="0.33773391567616501"/>
    <n v="22.523499999999999"/>
    <n v="208.93784786641928"/>
    <m/>
    <m/>
  </r>
  <r>
    <s v="O3"/>
    <x v="1"/>
    <n v="1"/>
    <s v="B"/>
    <n v="102"/>
    <n v="1"/>
    <n v="0.86199999999999999"/>
    <n v="0.48199999999999998"/>
    <n v="1.4366666666666668"/>
    <n v="0.80333333333333334"/>
    <n v="15.906966666666666"/>
    <m/>
    <m/>
    <n v="16.5472"/>
    <m/>
    <m/>
    <m/>
    <m/>
    <m/>
    <m/>
  </r>
  <r>
    <s v="O4"/>
    <x v="1"/>
    <n v="1"/>
    <s v="A"/>
    <n v="101.8"/>
    <n v="1"/>
    <n v="0.156"/>
    <n v="0.16700000000000001"/>
    <n v="0.26"/>
    <n v="0.27833333333333338"/>
    <n v="2.7936666666666667"/>
    <n v="3.2653499999999998"/>
    <n v="0.14445107977194901"/>
    <n v="6.5962500000000013"/>
    <n v="8.238900000000001"/>
    <n v="0.19937734406292082"/>
    <n v="11.504250000000001"/>
    <n v="113.00834970530451"/>
    <m/>
    <m/>
  </r>
  <r>
    <s v="O4"/>
    <x v="1"/>
    <n v="1"/>
    <s v="B"/>
    <n v="103.1"/>
    <n v="1"/>
    <n v="0.21"/>
    <n v="0.247"/>
    <n v="0.35"/>
    <n v="0.41166666666666668"/>
    <n v="3.7370333333333332"/>
    <m/>
    <m/>
    <n v="9.8815500000000007"/>
    <m/>
    <m/>
    <m/>
    <m/>
    <m/>
    <m/>
  </r>
  <r>
    <s v="O5"/>
    <x v="1"/>
    <n v="1"/>
    <s v="A"/>
    <n v="108"/>
    <n v="1"/>
    <n v="0.442"/>
    <n v="0.30499999999999999"/>
    <n v="0.73666666666666669"/>
    <n v="0.5083333333333333"/>
    <n v="8.0947666666666667"/>
    <n v="6.1025083333333328"/>
    <n v="0.32646548345557386"/>
    <n v="11.09665"/>
    <n v="8.5925750000000001"/>
    <n v="0.29142311821543621"/>
    <n v="14.695083333333333"/>
    <n v="136.06558641975309"/>
    <m/>
    <m/>
  </r>
  <r>
    <s v="O5"/>
    <x v="1"/>
    <n v="1"/>
    <s v="B"/>
    <n v="108.6"/>
    <n v="1"/>
    <n v="0.22500000000000001"/>
    <n v="0.16500000000000001"/>
    <n v="0.375"/>
    <n v="0.27500000000000002"/>
    <n v="4.1102499999999997"/>
    <m/>
    <m/>
    <n v="6.0885000000000007"/>
    <m/>
    <m/>
    <m/>
    <m/>
    <m/>
    <m/>
  </r>
  <r>
    <s v="S1"/>
    <x v="2"/>
    <n v="1"/>
    <s v="A"/>
    <n v="102.3"/>
    <n v="1"/>
    <n v="0.17499999999999999"/>
    <n v="0.13100000000000001"/>
    <n v="0.29166666666666669"/>
    <n v="0.21833333333333335"/>
    <n v="3.1940166666666667"/>
    <n v="3.6849749999999997"/>
    <n v="0.13323247330940793"/>
    <n v="4.855900000000001"/>
    <n v="5.2825249999999997"/>
    <n v="8.0761567621544447E-2"/>
    <n v="8.9674999999999994"/>
    <n v="87.658846529814255"/>
    <n v="100.36089099290965"/>
    <n v="4.8885280378417002E-2"/>
  </r>
  <r>
    <s v="S1"/>
    <x v="2"/>
    <n v="1"/>
    <s v="B"/>
    <n v="103.5"/>
    <n v="1"/>
    <n v="0.22800000000000001"/>
    <n v="0.157"/>
    <n v="0.38"/>
    <n v="0.26166666666666666"/>
    <n v="4.1759333333333331"/>
    <m/>
    <m/>
    <n v="5.7091499999999993"/>
    <m/>
    <m/>
    <m/>
    <m/>
    <m/>
    <m/>
  </r>
  <r>
    <s v="S7"/>
    <x v="2"/>
    <n v="1"/>
    <s v="A"/>
    <n v="102.2"/>
    <n v="1"/>
    <n v="0.38800000000000001"/>
    <n v="0.222"/>
    <n v="0.64666666666666672"/>
    <n v="0.37"/>
    <n v="7.1546000000000012"/>
    <n v="4.8917583333333337"/>
    <n v="0.46258247290084858"/>
    <n v="7.6758999999999986"/>
    <n v="6.2211999999999996"/>
    <n v="0.23382948627274441"/>
    <n v="11.112958333333333"/>
    <n v="108.73736138290931"/>
    <m/>
    <m/>
  </r>
  <r>
    <s v="S7"/>
    <x v="2"/>
    <n v="1"/>
    <s v="B"/>
    <n v="99.5"/>
    <n v="1"/>
    <n v="0.14499999999999999"/>
    <n v="0.125"/>
    <n v="0.24166666666666667"/>
    <n v="0.20833333333333334"/>
    <n v="2.6289166666666666"/>
    <m/>
    <m/>
    <n v="4.7664999999999997"/>
    <m/>
    <m/>
    <m/>
    <m/>
    <m/>
    <m/>
  </r>
  <r>
    <s v="S3"/>
    <x v="2"/>
    <n v="1"/>
    <s v="A"/>
    <n v="106.6"/>
    <n v="1"/>
    <n v="0.28299999999999997"/>
    <n v="0.182"/>
    <n v="0.47166666666666662"/>
    <n v="0.30333333333333334"/>
    <n v="5.1970166666666664"/>
    <n v="4.4225166666666667"/>
    <n v="0.17512653051995272"/>
    <n v="6.5051500000000004"/>
    <n v="5.675650000000001"/>
    <n v="0.14615066115775235"/>
    <n v="10.098166666666668"/>
    <n v="94.729518449030664"/>
    <m/>
    <m/>
  </r>
  <r>
    <s v="S3"/>
    <x v="2"/>
    <n v="1"/>
    <s v="B"/>
    <n v="99.9"/>
    <n v="1"/>
    <n v="0.19900000000000001"/>
    <n v="0.13400000000000001"/>
    <n v="0.33166666666666672"/>
    <n v="0.22333333333333336"/>
    <n v="3.6480166666666669"/>
    <m/>
    <m/>
    <n v="4.8461500000000006"/>
    <m/>
    <m/>
    <m/>
    <m/>
    <m/>
    <m/>
  </r>
  <r>
    <s v="S4"/>
    <x v="2"/>
    <n v="1"/>
    <s v="A"/>
    <n v="107"/>
    <n v="1"/>
    <n v="0.36599999999999999"/>
    <n v="0.224"/>
    <n v="0.61"/>
    <n v="0.37333333333333335"/>
    <n v="6.7333666666666661"/>
    <n v="5.5128666666666657"/>
    <n v="0.22139116974834672"/>
    <n v="7.8993000000000002"/>
    <n v="6.7409250000000007"/>
    <n v="0.17184214332602629"/>
    <n v="12.253791666666666"/>
    <n v="114.52141744548285"/>
    <m/>
    <m/>
  </r>
  <r>
    <s v="S4"/>
    <x v="2"/>
    <n v="1"/>
    <s v="B"/>
    <n v="106.6"/>
    <n v="1"/>
    <n v="0.23400000000000001"/>
    <n v="0.155"/>
    <n v="0.39"/>
    <n v="0.25833333333333336"/>
    <n v="4.2923666666666662"/>
    <m/>
    <m/>
    <n v="5.5825500000000003"/>
    <m/>
    <m/>
    <m/>
    <m/>
    <m/>
    <m/>
  </r>
  <r>
    <s v="S5"/>
    <x v="2"/>
    <n v="1"/>
    <s v="A"/>
    <n v="96.2"/>
    <n v="1"/>
    <n v="0.17100000000000001"/>
    <n v="0.17299999999999999"/>
    <n v="0.28500000000000003"/>
    <n v="0.28833333333333333"/>
    <n v="3.0730166666666667"/>
    <n v="3.0487833333333336"/>
    <n v="7.9485259147090721E-3"/>
    <n v="6.7763999999999998"/>
    <n v="6.2015499999999992"/>
    <n v="9.2694568293410537E-2"/>
    <n v="9.2503333333333337"/>
    <n v="96.157311157311142"/>
    <m/>
    <m/>
  </r>
  <r>
    <s v="S5"/>
    <x v="2"/>
    <n v="1"/>
    <s v="B"/>
    <n v="101.7"/>
    <n v="1"/>
    <n v="0.16700000000000001"/>
    <n v="0.14699999999999999"/>
    <n v="0.27833333333333338"/>
    <n v="0.245"/>
    <n v="3.0245500000000005"/>
    <m/>
    <m/>
    <n v="5.6266999999999996"/>
    <m/>
    <m/>
    <m/>
    <m/>
    <m/>
    <m/>
  </r>
  <r>
    <s v="I1"/>
    <x v="3"/>
    <n v="1"/>
    <s v="A"/>
    <n v="103.1"/>
    <n v="1"/>
    <n v="0.23100000000000001"/>
    <n v="0.21099999999999999"/>
    <n v="0.38500000000000001"/>
    <n v="0.35166666666666668"/>
    <n v="4.1754833333333332"/>
    <n v="3.1936416666666667"/>
    <n v="0.30743639053640426"/>
    <n v="8.1290999999999993"/>
    <n v="6.8725249999999996"/>
    <n v="0.18284036798702108"/>
    <n v="10.066166666666666"/>
    <n v="97.6349822179114"/>
    <n v="86.100895208512014"/>
    <n v="0.11587477195222594"/>
  </r>
  <r>
    <s v="I1"/>
    <x v="3"/>
    <n v="1"/>
    <s v="B"/>
    <n v="108.8"/>
    <n v="1"/>
    <n v="0.124"/>
    <n v="0.14099999999999999"/>
    <n v="0.20666666666666667"/>
    <n v="0.23499999999999999"/>
    <n v="2.2118000000000002"/>
    <m/>
    <m/>
    <n v="5.6159499999999998"/>
    <m/>
    <m/>
    <m/>
    <m/>
    <m/>
    <m/>
  </r>
  <r>
    <s v="I2"/>
    <x v="3"/>
    <n v="1"/>
    <s v="A"/>
    <n v="108.3"/>
    <n v="1"/>
    <n v="0.108"/>
    <n v="0.125"/>
    <n v="0.18"/>
    <n v="0.20833333333333334"/>
    <n v="1.9240666666666666"/>
    <n v="2.0331083333333333"/>
    <n v="5.3632983977735263E-2"/>
    <n v="4.9903499999999994"/>
    <n v="4.7764749999999996"/>
    <n v="4.4776744356455199E-2"/>
    <n v="6.8095833333333324"/>
    <n v="62.87703908895044"/>
    <m/>
    <m/>
  </r>
  <r>
    <s v="I2"/>
    <x v="3"/>
    <n v="1"/>
    <s v="B"/>
    <n v="104.6"/>
    <n v="1"/>
    <n v="0.11899999999999999"/>
    <n v="0.11700000000000001"/>
    <n v="0.19833333333333333"/>
    <n v="0.19500000000000001"/>
    <n v="2.14215"/>
    <m/>
    <m/>
    <n v="4.5626000000000007"/>
    <m/>
    <m/>
    <m/>
    <m/>
    <m/>
    <m/>
  </r>
  <r>
    <s v="I3"/>
    <x v="3"/>
    <n v="1"/>
    <s v="A"/>
    <n v="102.7"/>
    <n v="1"/>
    <n v="0.20300000000000001"/>
    <n v="0.17"/>
    <n v="0.33833333333333337"/>
    <n v="0.28333333333333338"/>
    <n v="3.6858166666666672"/>
    <n v="3.8101000000000003"/>
    <n v="3.2619441309501812E-2"/>
    <n v="6.447350000000001"/>
    <n v="6.7887750000000011"/>
    <n v="5.0292578557987272E-2"/>
    <n v="10.598875000000001"/>
    <n v="103.20228821811101"/>
    <m/>
    <m/>
  </r>
  <r>
    <s v="I3"/>
    <x v="3"/>
    <n v="1"/>
    <s v="B"/>
    <n v="108.4"/>
    <n v="1"/>
    <n v="0.217"/>
    <n v="0.187"/>
    <n v="0.36166666666666669"/>
    <n v="0.3116666666666667"/>
    <n v="3.9343833333333329"/>
    <m/>
    <m/>
    <n v="7.1302000000000012"/>
    <m/>
    <m/>
    <m/>
    <m/>
    <m/>
    <m/>
  </r>
  <r>
    <s v="I4"/>
    <x v="3"/>
    <n v="1"/>
    <s v="A"/>
    <n v="109.4"/>
    <n v="1"/>
    <n v="0.27600000000000002"/>
    <n v="0.19900000000000001"/>
    <n v="0.46000000000000008"/>
    <n v="0.33166666666666672"/>
    <n v="5.0455333333333341"/>
    <n v="4.7932333333333332"/>
    <n v="5.2636703130107113E-2"/>
    <n v="7.3150500000000012"/>
    <n v="6.7902250000000013"/>
    <n v="7.7291253235349383E-2"/>
    <n v="11.583458333333335"/>
    <n v="105.88170322973797"/>
    <m/>
    <m/>
  </r>
  <r>
    <s v="I4"/>
    <x v="3"/>
    <n v="1"/>
    <s v="B"/>
    <n v="103.6"/>
    <n v="1"/>
    <n v="0.248"/>
    <n v="0.17199999999999999"/>
    <n v="0.41333333333333333"/>
    <n v="0.28666666666666668"/>
    <n v="4.5409333333333333"/>
    <m/>
    <m/>
    <n v="6.2654000000000005"/>
    <m/>
    <m/>
    <m/>
    <m/>
    <m/>
    <m/>
  </r>
  <r>
    <s v="I5"/>
    <x v="3"/>
    <n v="1"/>
    <s v="A"/>
    <n v="102.6"/>
    <n v="1"/>
    <n v="6.6000000000000003E-2"/>
    <n v="8.5000000000000006E-2"/>
    <n v="0.11000000000000001"/>
    <n v="0.14166666666666669"/>
    <n v="1.1666333333333334"/>
    <n v="1.9014333333333333"/>
    <n v="0.38644531318479036"/>
    <n v="3.4384500000000005"/>
    <n v="4.3477750000000004"/>
    <n v="0.20914720747968762"/>
    <n v="6.2492083333333337"/>
    <n v="60.908463287849258"/>
    <m/>
    <m/>
  </r>
  <r>
    <s v="I5"/>
    <x v="3"/>
    <n v="1"/>
    <s v="B"/>
    <n v="104.2"/>
    <n v="1"/>
    <n v="0.14599999999999999"/>
    <n v="0.13600000000000001"/>
    <n v="0.24333333333333332"/>
    <n v="0.22666666666666668"/>
    <n v="2.6362333333333332"/>
    <m/>
    <m/>
    <n v="5.2571000000000003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3947E3-741C-4BE5-A736-5AB82C0EF8FB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H3:J8" firstHeaderRow="0" firstDataRow="1" firstDataCol="1"/>
  <pivotFields count="4">
    <pivotField dataField="1" showAll="0"/>
    <pivotField axis="axisRow" showAll="0">
      <items count="5">
        <item x="0"/>
        <item x="1"/>
        <item x="2"/>
        <item x="3"/>
        <item t="default"/>
      </items>
    </pivotField>
    <pivotField showAll="0">
      <items count="17">
        <item x="5"/>
        <item x="12"/>
        <item x="6"/>
        <item x="13"/>
        <item x="8"/>
        <item x="15"/>
        <item x="11"/>
        <item x="0"/>
        <item x="1"/>
        <item x="2"/>
        <item x="3"/>
        <item x="4"/>
        <item x="9"/>
        <item x="10"/>
        <item x="7"/>
        <item x="14"/>
        <item t="default"/>
      </items>
    </pivotField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Promedio de peso inicial (g)" fld="3" subtotal="average" baseField="1" baseItem="0" numFmtId="164"/>
    <dataField name="Cuenta de n" fld="0" subtotal="count" baseField="1" baseItem="0" numFmtId="1"/>
  </dataFields>
  <formats count="3">
    <format dxfId="6">
      <pivotArea outline="0" collapsedLevelsAreSubtotals="1" fieldPosition="0"/>
    </format>
    <format dxfId="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788AB8-DF7F-46FB-8872-52A2AE7F2ECF}" name="Tabla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V3:W8" firstHeaderRow="1" firstDataRow="1" firstDataCol="1"/>
  <pivotFields count="20"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65" showAll="0"/>
    <pivotField numFmtId="165" showAll="0"/>
    <pivotField numFmtId="2" showAll="0"/>
    <pivotField showAll="0"/>
    <pivotField showAll="0"/>
    <pivotField numFmtId="2"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Promedio de clorofila total (ug/g tejido)" fld="17" subtotal="average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69014-AB43-4CF6-BE55-C2AB33CB827F}">
  <dimension ref="A1:W22"/>
  <sheetViews>
    <sheetView tabSelected="1" topLeftCell="D1" zoomScale="70" zoomScaleNormal="70" workbookViewId="0">
      <selection activeCell="K6" sqref="K6"/>
    </sheetView>
  </sheetViews>
  <sheetFormatPr baseColWidth="10" defaultRowHeight="14.5" x14ac:dyDescent="0.35"/>
  <cols>
    <col min="4" max="4" width="11.7265625" bestFit="1" customWidth="1"/>
    <col min="5" max="5" width="16.26953125" bestFit="1" customWidth="1"/>
    <col min="6" max="13" width="11.26953125" bestFit="1" customWidth="1"/>
    <col min="14" max="17" width="11.26953125" customWidth="1"/>
    <col min="18" max="20" width="11.26953125" bestFit="1" customWidth="1"/>
    <col min="21" max="21" width="11.81640625" bestFit="1" customWidth="1"/>
    <col min="22" max="22" width="11.81640625" customWidth="1"/>
  </cols>
  <sheetData>
    <row r="1" spans="1:23" x14ac:dyDescent="0.35">
      <c r="A1" s="13" t="s">
        <v>0</v>
      </c>
      <c r="B1" s="13" t="s">
        <v>31</v>
      </c>
      <c r="C1" s="13" t="s">
        <v>18</v>
      </c>
      <c r="D1" s="36" t="s">
        <v>65</v>
      </c>
      <c r="E1" s="36" t="s">
        <v>64</v>
      </c>
      <c r="F1" s="34" t="s">
        <v>19</v>
      </c>
      <c r="G1" s="34" t="s">
        <v>20</v>
      </c>
      <c r="H1" s="36" t="s">
        <v>21</v>
      </c>
      <c r="I1" s="36" t="s">
        <v>22</v>
      </c>
      <c r="J1" s="34" t="s">
        <v>23</v>
      </c>
      <c r="K1" s="34" t="s">
        <v>24</v>
      </c>
      <c r="L1" s="34" t="s">
        <v>25</v>
      </c>
      <c r="M1" s="34" t="s">
        <v>26</v>
      </c>
      <c r="N1" s="36" t="s">
        <v>66</v>
      </c>
      <c r="O1" s="36" t="s">
        <v>63</v>
      </c>
      <c r="P1" s="34" t="s">
        <v>67</v>
      </c>
      <c r="Q1" s="34" t="s">
        <v>68</v>
      </c>
      <c r="R1" s="35" t="s">
        <v>27</v>
      </c>
      <c r="S1" s="35" t="s">
        <v>28</v>
      </c>
      <c r="T1" s="57" t="s">
        <v>29</v>
      </c>
      <c r="U1" s="36" t="s">
        <v>30</v>
      </c>
      <c r="V1" s="36" t="s">
        <v>70</v>
      </c>
      <c r="W1" s="36" t="s">
        <v>69</v>
      </c>
    </row>
    <row r="2" spans="1:23" x14ac:dyDescent="0.35">
      <c r="A2">
        <v>1</v>
      </c>
      <c r="B2" t="s">
        <v>32</v>
      </c>
      <c r="C2" t="s">
        <v>10</v>
      </c>
      <c r="D2">
        <v>30</v>
      </c>
      <c r="E2">
        <v>101.68164362519201</v>
      </c>
      <c r="F2" s="33"/>
      <c r="G2" s="33"/>
      <c r="H2">
        <v>99.197272866810621</v>
      </c>
      <c r="I2">
        <v>18.071043402238345</v>
      </c>
      <c r="J2" s="33"/>
      <c r="K2" s="33"/>
      <c r="L2" s="33"/>
      <c r="M2" s="33"/>
      <c r="N2">
        <v>472.40465491416069</v>
      </c>
      <c r="O2">
        <v>103.74332234235615</v>
      </c>
      <c r="P2" s="33"/>
      <c r="Q2" s="33"/>
      <c r="R2" s="33"/>
      <c r="S2" s="33"/>
      <c r="T2">
        <v>4.3395000000000001</v>
      </c>
      <c r="U2">
        <v>8.6940000000000008</v>
      </c>
      <c r="V2">
        <v>260.2</v>
      </c>
      <c r="W2">
        <v>478.19999999999993</v>
      </c>
    </row>
    <row r="3" spans="1:23" x14ac:dyDescent="0.35">
      <c r="A3">
        <v>2</v>
      </c>
      <c r="B3" t="s">
        <v>33</v>
      </c>
      <c r="C3" t="s">
        <v>10</v>
      </c>
      <c r="D3">
        <v>20</v>
      </c>
      <c r="E3">
        <v>78.11097560975611</v>
      </c>
      <c r="F3" s="33"/>
      <c r="G3" s="33"/>
      <c r="H3">
        <v>73.351419262003901</v>
      </c>
      <c r="I3">
        <v>22.371117815230225</v>
      </c>
      <c r="J3" s="33"/>
      <c r="K3" s="33"/>
      <c r="L3" s="33"/>
      <c r="M3" s="33"/>
      <c r="N3">
        <v>210.5453168092989</v>
      </c>
      <c r="O3">
        <v>81.727386893373051</v>
      </c>
      <c r="P3" s="33"/>
      <c r="Q3" s="33"/>
      <c r="R3" s="33"/>
      <c r="S3" s="33"/>
      <c r="T3">
        <v>4.6934999999999993</v>
      </c>
      <c r="U3">
        <v>8.4495000000000005</v>
      </c>
      <c r="V3">
        <v>323.2</v>
      </c>
      <c r="W3">
        <v>459.2</v>
      </c>
    </row>
    <row r="4" spans="1:23" x14ac:dyDescent="0.35">
      <c r="A4">
        <v>3</v>
      </c>
      <c r="B4" t="s">
        <v>34</v>
      </c>
      <c r="C4" t="s">
        <v>10</v>
      </c>
      <c r="D4">
        <v>31</v>
      </c>
      <c r="E4">
        <v>119.00882552613714</v>
      </c>
      <c r="F4" s="33"/>
      <c r="G4" s="33"/>
      <c r="H4">
        <v>55.652683539613967</v>
      </c>
      <c r="I4">
        <v>32.538870027153493</v>
      </c>
      <c r="J4" s="33"/>
      <c r="K4" s="33"/>
      <c r="L4" s="33"/>
      <c r="M4" s="33"/>
      <c r="N4">
        <v>407.12132215400197</v>
      </c>
      <c r="O4">
        <v>52.412953176311966</v>
      </c>
      <c r="P4" s="33"/>
      <c r="Q4" s="33"/>
      <c r="R4" s="33"/>
      <c r="S4" s="33"/>
      <c r="T4">
        <v>5.0490000000000004</v>
      </c>
      <c r="U4">
        <v>7.6635</v>
      </c>
      <c r="V4">
        <v>463.2</v>
      </c>
      <c r="W4">
        <v>449.2</v>
      </c>
    </row>
    <row r="5" spans="1:23" x14ac:dyDescent="0.35">
      <c r="A5">
        <v>4</v>
      </c>
      <c r="B5" t="s">
        <v>35</v>
      </c>
      <c r="C5" t="s">
        <v>10</v>
      </c>
      <c r="D5">
        <v>31</v>
      </c>
      <c r="E5">
        <v>98.048906789413124</v>
      </c>
      <c r="F5" s="33"/>
      <c r="G5" s="33"/>
      <c r="H5">
        <v>79.209373722657148</v>
      </c>
      <c r="I5">
        <v>24.447583362075548</v>
      </c>
      <c r="J5" s="33"/>
      <c r="K5" s="33"/>
      <c r="L5" s="33"/>
      <c r="M5" s="33"/>
      <c r="N5">
        <v>424.04057125589583</v>
      </c>
      <c r="O5">
        <v>51.538892792006415</v>
      </c>
      <c r="P5" s="33"/>
      <c r="Q5" s="33"/>
      <c r="R5" s="33"/>
      <c r="S5" s="33"/>
      <c r="T5">
        <v>4.2284999999999995</v>
      </c>
      <c r="U5">
        <v>7.8285</v>
      </c>
      <c r="V5">
        <v>508.2</v>
      </c>
      <c r="W5">
        <v>403.2</v>
      </c>
    </row>
    <row r="6" spans="1:23" x14ac:dyDescent="0.35">
      <c r="A6">
        <v>5</v>
      </c>
      <c r="B6" t="s">
        <v>36</v>
      </c>
      <c r="C6" t="s">
        <v>10</v>
      </c>
      <c r="D6">
        <v>15</v>
      </c>
      <c r="E6">
        <v>155.94201030927834</v>
      </c>
      <c r="F6" s="33"/>
      <c r="G6" s="33"/>
      <c r="H6">
        <v>52.25002219120217</v>
      </c>
      <c r="I6">
        <v>30.683938459770747</v>
      </c>
      <c r="J6" s="33"/>
      <c r="K6" s="33"/>
      <c r="L6" s="33"/>
      <c r="M6" s="33"/>
      <c r="N6">
        <v>212.40564291923809</v>
      </c>
      <c r="O6">
        <v>80.98262991673846</v>
      </c>
      <c r="P6" s="33"/>
      <c r="Q6" s="33"/>
      <c r="R6" s="33"/>
      <c r="S6" s="33"/>
      <c r="T6">
        <v>6.4545000000000003</v>
      </c>
      <c r="U6">
        <v>7.74</v>
      </c>
      <c r="V6">
        <v>263.2</v>
      </c>
      <c r="W6">
        <v>403.2</v>
      </c>
    </row>
    <row r="7" spans="1:23" x14ac:dyDescent="0.35">
      <c r="A7">
        <v>11</v>
      </c>
      <c r="B7" t="s">
        <v>37</v>
      </c>
      <c r="C7" t="s">
        <v>7</v>
      </c>
      <c r="D7">
        <v>42</v>
      </c>
      <c r="E7">
        <v>97.6593252108716</v>
      </c>
      <c r="F7" s="33"/>
      <c r="G7" s="33"/>
      <c r="H7">
        <v>46.890740803770612</v>
      </c>
      <c r="I7">
        <v>30.943396381738289</v>
      </c>
      <c r="J7" s="33"/>
      <c r="K7" s="33"/>
      <c r="L7" s="33"/>
      <c r="M7" s="33"/>
      <c r="N7">
        <v>272.28459028977159</v>
      </c>
      <c r="O7">
        <v>56.890543886529244</v>
      </c>
      <c r="P7" s="33"/>
      <c r="Q7" s="33"/>
      <c r="R7" s="33"/>
      <c r="S7" s="33"/>
      <c r="T7">
        <v>5.79</v>
      </c>
      <c r="U7">
        <v>8.5934999999999988</v>
      </c>
      <c r="V7">
        <v>483.19999999999993</v>
      </c>
      <c r="W7">
        <v>390.2</v>
      </c>
    </row>
    <row r="8" spans="1:23" x14ac:dyDescent="0.35">
      <c r="A8">
        <v>12</v>
      </c>
      <c r="B8" t="s">
        <v>38</v>
      </c>
      <c r="C8" t="s">
        <v>7</v>
      </c>
      <c r="D8">
        <v>33</v>
      </c>
      <c r="E8">
        <v>99.902764761012193</v>
      </c>
      <c r="F8" s="33"/>
      <c r="G8" s="33"/>
      <c r="H8">
        <v>64.919258485489948</v>
      </c>
      <c r="I8">
        <v>20.06304901940868</v>
      </c>
      <c r="J8" s="33"/>
      <c r="K8" s="33"/>
      <c r="L8" s="33"/>
      <c r="M8" s="33"/>
      <c r="N8">
        <v>154.33121097248298</v>
      </c>
      <c r="O8">
        <v>56.079559390817678</v>
      </c>
      <c r="P8" s="33"/>
      <c r="Q8" s="33"/>
      <c r="R8" s="33"/>
      <c r="S8" s="33"/>
      <c r="T8">
        <v>4.5285000000000002</v>
      </c>
      <c r="U8">
        <v>7.474499999999999</v>
      </c>
      <c r="V8">
        <v>274.2</v>
      </c>
      <c r="W8">
        <v>438.20000000000005</v>
      </c>
    </row>
    <row r="9" spans="1:23" x14ac:dyDescent="0.35">
      <c r="A9">
        <v>13</v>
      </c>
      <c r="B9" t="s">
        <v>40</v>
      </c>
      <c r="C9" t="s">
        <v>7</v>
      </c>
      <c r="D9">
        <v>19</v>
      </c>
      <c r="E9">
        <v>208.93784786641928</v>
      </c>
      <c r="F9" s="33"/>
      <c r="G9" s="33"/>
      <c r="H9" t="s">
        <v>93</v>
      </c>
      <c r="I9">
        <v>28.039813712878161</v>
      </c>
      <c r="J9" s="33"/>
      <c r="K9" s="33"/>
      <c r="L9" s="33"/>
      <c r="M9" s="33"/>
      <c r="N9" t="s">
        <v>93</v>
      </c>
      <c r="O9">
        <v>58.755818660190243</v>
      </c>
      <c r="P9" s="33"/>
      <c r="Q9" s="33"/>
      <c r="R9" s="33"/>
      <c r="S9" s="33"/>
      <c r="T9">
        <v>3.1095000000000002</v>
      </c>
      <c r="U9">
        <v>6.5880000000000001</v>
      </c>
      <c r="V9">
        <v>274.2</v>
      </c>
      <c r="W9">
        <v>476.2</v>
      </c>
    </row>
    <row r="10" spans="1:23" x14ac:dyDescent="0.35">
      <c r="A10">
        <v>14</v>
      </c>
      <c r="B10" t="s">
        <v>41</v>
      </c>
      <c r="C10" t="s">
        <v>7</v>
      </c>
      <c r="D10">
        <v>42</v>
      </c>
      <c r="E10">
        <v>113.00834970530451</v>
      </c>
      <c r="F10" s="33"/>
      <c r="G10" s="33"/>
      <c r="H10">
        <v>55.367360350739787</v>
      </c>
      <c r="I10">
        <v>31.214025742784617</v>
      </c>
      <c r="J10" s="33"/>
      <c r="K10" s="33"/>
      <c r="L10" s="33"/>
      <c r="M10" s="33"/>
      <c r="N10">
        <v>276.49983735303687</v>
      </c>
      <c r="O10" t="s">
        <v>93</v>
      </c>
      <c r="P10" s="33"/>
      <c r="Q10" s="33"/>
      <c r="R10" s="33"/>
      <c r="S10" s="33"/>
      <c r="T10">
        <v>4.782</v>
      </c>
      <c r="U10">
        <v>7.9169999999999989</v>
      </c>
      <c r="V10">
        <v>502.20000000000005</v>
      </c>
      <c r="W10">
        <v>383.19999999999993</v>
      </c>
    </row>
    <row r="11" spans="1:23" x14ac:dyDescent="0.35">
      <c r="A11">
        <v>15</v>
      </c>
      <c r="B11" t="s">
        <v>42</v>
      </c>
      <c r="C11" t="s">
        <v>7</v>
      </c>
      <c r="D11">
        <v>14</v>
      </c>
      <c r="E11">
        <v>136.06558641975309</v>
      </c>
      <c r="F11" s="33"/>
      <c r="G11" s="33"/>
      <c r="H11">
        <v>42.21904366558244</v>
      </c>
      <c r="I11">
        <v>39.093118529107244</v>
      </c>
      <c r="J11" s="33"/>
      <c r="K11" s="33"/>
      <c r="L11" s="33"/>
      <c r="M11" s="33"/>
      <c r="N11">
        <v>186.79549114331726</v>
      </c>
      <c r="O11">
        <v>88.464260438782745</v>
      </c>
      <c r="P11" s="33"/>
      <c r="Q11" s="33"/>
      <c r="R11" s="33"/>
      <c r="S11" s="33"/>
      <c r="T11">
        <v>6.5549999999999997</v>
      </c>
      <c r="U11">
        <v>6.5939999999999994</v>
      </c>
      <c r="V11">
        <v>504.20000000000005</v>
      </c>
      <c r="W11">
        <v>453.2</v>
      </c>
    </row>
    <row r="12" spans="1:23" x14ac:dyDescent="0.35">
      <c r="A12">
        <v>21</v>
      </c>
      <c r="B12" t="s">
        <v>43</v>
      </c>
      <c r="C12" t="s">
        <v>4</v>
      </c>
      <c r="D12">
        <v>11</v>
      </c>
      <c r="E12">
        <v>87.658846529814255</v>
      </c>
      <c r="F12" s="33"/>
      <c r="G12" s="33"/>
      <c r="H12">
        <v>58.611046959347817</v>
      </c>
      <c r="I12">
        <v>20.020086597220629</v>
      </c>
      <c r="J12" s="33"/>
      <c r="K12" s="33"/>
      <c r="L12" s="33"/>
      <c r="M12" s="33"/>
      <c r="N12">
        <v>301.24387786655495</v>
      </c>
      <c r="O12">
        <v>64.513335642535509</v>
      </c>
      <c r="P12" s="33"/>
      <c r="Q12" s="33"/>
      <c r="R12" s="33"/>
      <c r="S12" s="33"/>
      <c r="T12">
        <v>5.5694999999999997</v>
      </c>
      <c r="U12">
        <v>8.6609999999999996</v>
      </c>
      <c r="V12">
        <v>215.19999999999993</v>
      </c>
      <c r="W12">
        <v>338.20000000000005</v>
      </c>
    </row>
    <row r="13" spans="1:23" x14ac:dyDescent="0.35">
      <c r="A13">
        <v>22</v>
      </c>
      <c r="B13" t="s">
        <v>39</v>
      </c>
      <c r="C13" t="s">
        <v>4</v>
      </c>
      <c r="D13">
        <v>32</v>
      </c>
      <c r="E13">
        <v>108.73736138290931</v>
      </c>
      <c r="F13" s="33"/>
      <c r="G13" s="33"/>
      <c r="H13">
        <v>65.247216421502969</v>
      </c>
      <c r="I13">
        <v>21.475020071393104</v>
      </c>
      <c r="J13" s="33"/>
      <c r="K13" s="33"/>
      <c r="L13" s="33"/>
      <c r="M13" s="33"/>
      <c r="N13" t="s">
        <v>93</v>
      </c>
      <c r="O13">
        <v>60.169597206634258</v>
      </c>
      <c r="P13" s="33"/>
      <c r="Q13" s="33"/>
      <c r="R13" s="33"/>
      <c r="S13" s="33"/>
      <c r="T13">
        <v>5.3819999999999997</v>
      </c>
      <c r="U13">
        <v>7.5735000000000001</v>
      </c>
      <c r="V13">
        <v>269.2</v>
      </c>
      <c r="W13">
        <v>301.19999999999993</v>
      </c>
    </row>
    <row r="14" spans="1:23" x14ac:dyDescent="0.35">
      <c r="A14">
        <v>23</v>
      </c>
      <c r="B14" t="s">
        <v>44</v>
      </c>
      <c r="C14" t="s">
        <v>4</v>
      </c>
      <c r="D14">
        <v>32</v>
      </c>
      <c r="E14">
        <v>94.729518449030664</v>
      </c>
      <c r="F14" s="33"/>
      <c r="G14" s="33"/>
      <c r="H14">
        <v>60.069846683338788</v>
      </c>
      <c r="I14">
        <v>24.964934923757887</v>
      </c>
      <c r="J14" s="33"/>
      <c r="K14" s="33"/>
      <c r="L14" s="33"/>
      <c r="M14" s="33"/>
      <c r="N14">
        <v>201.55057981436025</v>
      </c>
      <c r="O14">
        <v>60.825453112687157</v>
      </c>
      <c r="P14" s="33"/>
      <c r="Q14" s="33"/>
      <c r="R14" s="33"/>
      <c r="S14" s="33"/>
      <c r="T14">
        <v>6.7214999999999998</v>
      </c>
      <c r="U14">
        <v>7.8959999999999999</v>
      </c>
      <c r="V14">
        <v>499.2</v>
      </c>
      <c r="W14">
        <v>365.2</v>
      </c>
    </row>
    <row r="15" spans="1:23" x14ac:dyDescent="0.35">
      <c r="A15">
        <v>24</v>
      </c>
      <c r="B15" t="s">
        <v>45</v>
      </c>
      <c r="C15" t="s">
        <v>4</v>
      </c>
      <c r="D15">
        <v>15</v>
      </c>
      <c r="E15">
        <v>114.52141744548285</v>
      </c>
      <c r="F15" s="33"/>
      <c r="G15" s="33"/>
      <c r="H15">
        <v>51.883934983661156</v>
      </c>
      <c r="I15">
        <v>28.932546476999455</v>
      </c>
      <c r="J15" s="33"/>
      <c r="K15" s="33"/>
      <c r="L15" s="33"/>
      <c r="M15" s="33"/>
      <c r="N15">
        <v>210.17206558211279</v>
      </c>
      <c r="O15">
        <v>74.430511000939688</v>
      </c>
      <c r="P15" s="33"/>
      <c r="Q15" s="33"/>
      <c r="R15" s="33"/>
      <c r="S15" s="33"/>
      <c r="T15">
        <v>6.9870000000000001</v>
      </c>
      <c r="U15">
        <v>8.5724999999999998</v>
      </c>
      <c r="V15">
        <v>473.19999999999993</v>
      </c>
      <c r="W15">
        <v>372.2</v>
      </c>
    </row>
    <row r="16" spans="1:23" x14ac:dyDescent="0.35">
      <c r="A16">
        <v>25</v>
      </c>
      <c r="B16" t="s">
        <v>46</v>
      </c>
      <c r="C16" t="s">
        <v>4</v>
      </c>
      <c r="D16">
        <v>31</v>
      </c>
      <c r="E16">
        <v>96.157311157311142</v>
      </c>
      <c r="F16" s="33"/>
      <c r="G16" s="33"/>
      <c r="H16">
        <v>86.424819058650769</v>
      </c>
      <c r="I16">
        <v>22.663855346042705</v>
      </c>
      <c r="J16" s="33"/>
      <c r="K16" s="33"/>
      <c r="L16" s="33"/>
      <c r="M16" s="33"/>
      <c r="N16">
        <v>357.66158315177921</v>
      </c>
      <c r="O16">
        <v>79.059565848183738</v>
      </c>
      <c r="P16" s="33"/>
      <c r="Q16" s="33"/>
      <c r="R16" s="33"/>
      <c r="S16" s="33"/>
      <c r="T16">
        <v>5.8905000000000012</v>
      </c>
      <c r="U16">
        <v>8.1180000000000003</v>
      </c>
      <c r="V16">
        <v>378.19999999999993</v>
      </c>
      <c r="W16">
        <v>340.2</v>
      </c>
    </row>
    <row r="17" spans="1:23" x14ac:dyDescent="0.35">
      <c r="A17">
        <v>31</v>
      </c>
      <c r="B17" t="s">
        <v>48</v>
      </c>
      <c r="C17" t="s">
        <v>3</v>
      </c>
      <c r="D17">
        <v>28</v>
      </c>
      <c r="E17">
        <v>97.6349822179114</v>
      </c>
      <c r="F17" s="33"/>
      <c r="G17" s="33"/>
      <c r="H17">
        <v>110.46637472716887</v>
      </c>
      <c r="I17">
        <v>27.531063113205402</v>
      </c>
      <c r="J17" s="33"/>
      <c r="K17" s="33"/>
      <c r="L17" s="33"/>
      <c r="M17" s="33"/>
      <c r="N17">
        <v>362.99247454625942</v>
      </c>
      <c r="O17">
        <v>66.338842056801781</v>
      </c>
      <c r="P17" s="33"/>
      <c r="Q17" s="33"/>
      <c r="R17" s="33"/>
      <c r="S17" s="33"/>
      <c r="T17">
        <v>4.5180000000000007</v>
      </c>
      <c r="U17">
        <v>6.9990000000000006</v>
      </c>
      <c r="V17">
        <v>490.19999999999993</v>
      </c>
      <c r="W17">
        <v>420.20000000000005</v>
      </c>
    </row>
    <row r="18" spans="1:23" x14ac:dyDescent="0.35">
      <c r="A18">
        <v>32</v>
      </c>
      <c r="B18" t="s">
        <v>49</v>
      </c>
      <c r="C18" t="s">
        <v>3</v>
      </c>
      <c r="D18">
        <v>13</v>
      </c>
      <c r="E18">
        <v>62.87703908895044</v>
      </c>
      <c r="F18" s="33"/>
      <c r="G18" s="33"/>
      <c r="H18">
        <v>64.318607263430351</v>
      </c>
      <c r="I18">
        <v>23.374917434181498</v>
      </c>
      <c r="J18" s="33"/>
      <c r="K18" s="33"/>
      <c r="L18" s="33"/>
      <c r="M18" s="33"/>
      <c r="N18">
        <v>157.4279379157428</v>
      </c>
      <c r="O18">
        <v>54.067270485180934</v>
      </c>
      <c r="P18" s="33"/>
      <c r="Q18" s="33"/>
      <c r="R18" s="33"/>
      <c r="S18" s="33"/>
      <c r="T18">
        <v>6.7650000000000006</v>
      </c>
      <c r="U18">
        <v>6.5324999999999998</v>
      </c>
      <c r="V18">
        <v>442.20000000000005</v>
      </c>
      <c r="W18">
        <v>397.2</v>
      </c>
    </row>
    <row r="19" spans="1:23" x14ac:dyDescent="0.35">
      <c r="A19">
        <v>33</v>
      </c>
      <c r="B19" t="s">
        <v>50</v>
      </c>
      <c r="C19" t="s">
        <v>3</v>
      </c>
      <c r="D19">
        <v>23</v>
      </c>
      <c r="E19">
        <v>103.20228821811101</v>
      </c>
      <c r="F19" s="33"/>
      <c r="G19" s="33"/>
      <c r="H19">
        <v>51.192161519215979</v>
      </c>
      <c r="I19">
        <v>35.693331531516534</v>
      </c>
      <c r="J19" s="33"/>
      <c r="K19" s="33"/>
      <c r="L19" s="33"/>
      <c r="M19" s="33"/>
      <c r="N19">
        <v>231.87389373142307</v>
      </c>
      <c r="O19">
        <v>100.71293887719008</v>
      </c>
      <c r="P19" s="33"/>
      <c r="Q19" s="33"/>
      <c r="R19" s="33"/>
      <c r="S19" s="33"/>
      <c r="T19">
        <v>8.317499999999999</v>
      </c>
      <c r="U19">
        <v>8.0730000000000004</v>
      </c>
      <c r="V19">
        <v>417.20000000000005</v>
      </c>
      <c r="W19">
        <v>366.20000000000005</v>
      </c>
    </row>
    <row r="20" spans="1:23" x14ac:dyDescent="0.35">
      <c r="A20">
        <v>34</v>
      </c>
      <c r="B20" t="s">
        <v>51</v>
      </c>
      <c r="C20" t="s">
        <v>3</v>
      </c>
      <c r="D20">
        <v>15</v>
      </c>
      <c r="E20">
        <v>105.88170322973797</v>
      </c>
      <c r="F20" s="33"/>
      <c r="G20" s="33"/>
      <c r="H20">
        <v>73.969663927377823</v>
      </c>
      <c r="I20">
        <v>34.276318281580735</v>
      </c>
      <c r="J20" s="33"/>
      <c r="K20" s="33"/>
      <c r="L20" s="33"/>
      <c r="M20" s="33"/>
      <c r="N20">
        <v>168.36172556996357</v>
      </c>
      <c r="O20">
        <v>71.356114634391872</v>
      </c>
      <c r="P20" s="33"/>
      <c r="Q20" s="33"/>
      <c r="R20" s="33"/>
      <c r="S20" s="33"/>
      <c r="T20">
        <v>6.5549999999999997</v>
      </c>
      <c r="U20">
        <v>7.1744999999999992</v>
      </c>
      <c r="V20">
        <v>423.2</v>
      </c>
      <c r="W20">
        <v>365.19999999999993</v>
      </c>
    </row>
    <row r="21" spans="1:23" x14ac:dyDescent="0.35">
      <c r="A21">
        <v>35</v>
      </c>
      <c r="B21" t="s">
        <v>52</v>
      </c>
      <c r="C21" t="s">
        <v>3</v>
      </c>
      <c r="D21">
        <v>34</v>
      </c>
      <c r="E21">
        <v>60.908463287849258</v>
      </c>
      <c r="F21" s="33"/>
      <c r="G21" s="33"/>
      <c r="H21">
        <v>74.095671718176504</v>
      </c>
      <c r="I21">
        <v>50.052624244975469</v>
      </c>
      <c r="J21" s="33"/>
      <c r="K21" s="33"/>
      <c r="L21" s="33"/>
      <c r="M21" s="33"/>
      <c r="N21">
        <v>206.29099511816881</v>
      </c>
      <c r="O21">
        <v>116.07876129239027</v>
      </c>
      <c r="P21" s="33"/>
      <c r="Q21" s="33"/>
      <c r="R21" s="33"/>
      <c r="S21" s="33"/>
      <c r="T21">
        <v>7.0215000000000005</v>
      </c>
      <c r="U21">
        <v>5.5470000000000006</v>
      </c>
      <c r="V21">
        <v>340.2</v>
      </c>
      <c r="W21">
        <v>409.2</v>
      </c>
    </row>
    <row r="22" spans="1:23" x14ac:dyDescent="0.35">
      <c r="T22" s="3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25417-71C7-4257-BFC5-BAA34548BD90}">
  <dimension ref="A1:J269"/>
  <sheetViews>
    <sheetView workbookViewId="0">
      <selection activeCell="E17" sqref="E17"/>
    </sheetView>
  </sheetViews>
  <sheetFormatPr baseColWidth="10" defaultRowHeight="14.5" x14ac:dyDescent="0.35"/>
  <cols>
    <col min="3" max="3" width="10.81640625" customWidth="1"/>
    <col min="4" max="4" width="12.54296875" bestFit="1" customWidth="1"/>
    <col min="5" max="5" width="12.26953125" customWidth="1"/>
    <col min="8" max="8" width="16.54296875" bestFit="1" customWidth="1"/>
    <col min="9" max="9" width="24" bestFit="1" customWidth="1"/>
    <col min="10" max="10" width="11.269531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12</v>
      </c>
      <c r="E1" t="s">
        <v>17</v>
      </c>
    </row>
    <row r="2" spans="1:10" x14ac:dyDescent="0.35">
      <c r="A2">
        <v>207</v>
      </c>
      <c r="B2" t="s">
        <v>10</v>
      </c>
      <c r="C2">
        <v>16</v>
      </c>
      <c r="D2">
        <v>53</v>
      </c>
    </row>
    <row r="3" spans="1:10" x14ac:dyDescent="0.35">
      <c r="A3">
        <v>208</v>
      </c>
      <c r="B3" t="s">
        <v>10</v>
      </c>
      <c r="C3">
        <v>16</v>
      </c>
      <c r="D3">
        <v>24</v>
      </c>
      <c r="H3" s="1" t="s">
        <v>13</v>
      </c>
      <c r="I3" t="s">
        <v>15</v>
      </c>
      <c r="J3" s="4" t="s">
        <v>16</v>
      </c>
    </row>
    <row r="4" spans="1:10" x14ac:dyDescent="0.35">
      <c r="A4">
        <v>209</v>
      </c>
      <c r="B4" t="s">
        <v>10</v>
      </c>
      <c r="C4">
        <v>16</v>
      </c>
      <c r="D4">
        <v>26</v>
      </c>
      <c r="H4" s="2" t="s">
        <v>10</v>
      </c>
      <c r="I4" s="3">
        <v>20.596774193548388</v>
      </c>
      <c r="J4" s="4">
        <v>62</v>
      </c>
    </row>
    <row r="5" spans="1:10" x14ac:dyDescent="0.35">
      <c r="A5">
        <v>210</v>
      </c>
      <c r="B5" t="s">
        <v>10</v>
      </c>
      <c r="C5">
        <v>16</v>
      </c>
      <c r="D5">
        <v>10</v>
      </c>
      <c r="H5" s="2" t="s">
        <v>3</v>
      </c>
      <c r="I5" s="3">
        <v>16.549295774647888</v>
      </c>
      <c r="J5" s="4">
        <v>71</v>
      </c>
    </row>
    <row r="6" spans="1:10" x14ac:dyDescent="0.35">
      <c r="A6">
        <v>211</v>
      </c>
      <c r="B6" t="s">
        <v>10</v>
      </c>
      <c r="C6">
        <v>16</v>
      </c>
      <c r="D6">
        <v>9</v>
      </c>
      <c r="H6" s="2" t="s">
        <v>7</v>
      </c>
      <c r="I6" s="3">
        <v>14.507692307692308</v>
      </c>
      <c r="J6" s="4">
        <v>65</v>
      </c>
    </row>
    <row r="7" spans="1:10" x14ac:dyDescent="0.35">
      <c r="A7">
        <v>212</v>
      </c>
      <c r="B7" t="s">
        <v>10</v>
      </c>
      <c r="C7">
        <v>16</v>
      </c>
      <c r="D7">
        <v>18</v>
      </c>
      <c r="H7" s="2" t="s">
        <v>4</v>
      </c>
      <c r="I7" s="3">
        <v>14.142857142857142</v>
      </c>
      <c r="J7" s="4">
        <v>70</v>
      </c>
    </row>
    <row r="8" spans="1:10" x14ac:dyDescent="0.35">
      <c r="A8">
        <v>213</v>
      </c>
      <c r="B8" t="s">
        <v>10</v>
      </c>
      <c r="C8">
        <v>16</v>
      </c>
      <c r="D8">
        <v>12</v>
      </c>
      <c r="H8" s="2" t="s">
        <v>14</v>
      </c>
      <c r="I8" s="3">
        <v>16.361940298507463</v>
      </c>
      <c r="J8" s="4">
        <v>268</v>
      </c>
    </row>
    <row r="9" spans="1:10" x14ac:dyDescent="0.35">
      <c r="A9">
        <v>214</v>
      </c>
      <c r="B9" t="s">
        <v>10</v>
      </c>
      <c r="C9">
        <v>16</v>
      </c>
      <c r="D9">
        <v>10</v>
      </c>
    </row>
    <row r="10" spans="1:10" x14ac:dyDescent="0.35">
      <c r="A10">
        <v>215</v>
      </c>
      <c r="B10" t="s">
        <v>10</v>
      </c>
      <c r="C10">
        <v>16</v>
      </c>
      <c r="D10">
        <v>17</v>
      </c>
      <c r="J10" s="5"/>
    </row>
    <row r="11" spans="1:10" x14ac:dyDescent="0.35">
      <c r="A11">
        <v>216</v>
      </c>
      <c r="B11" t="s">
        <v>10</v>
      </c>
      <c r="C11">
        <v>16</v>
      </c>
      <c r="D11">
        <v>31</v>
      </c>
    </row>
    <row r="12" spans="1:10" x14ac:dyDescent="0.35">
      <c r="A12">
        <v>217</v>
      </c>
      <c r="B12" t="s">
        <v>10</v>
      </c>
      <c r="C12">
        <v>16</v>
      </c>
      <c r="D12">
        <v>20</v>
      </c>
    </row>
    <row r="13" spans="1:10" x14ac:dyDescent="0.35">
      <c r="A13">
        <v>218</v>
      </c>
      <c r="B13" t="s">
        <v>10</v>
      </c>
      <c r="C13">
        <v>16</v>
      </c>
      <c r="D13">
        <v>30</v>
      </c>
    </row>
    <row r="14" spans="1:10" x14ac:dyDescent="0.35">
      <c r="A14">
        <v>219</v>
      </c>
      <c r="B14" t="s">
        <v>10</v>
      </c>
      <c r="C14">
        <v>16</v>
      </c>
      <c r="D14">
        <v>16</v>
      </c>
    </row>
    <row r="15" spans="1:10" x14ac:dyDescent="0.35">
      <c r="A15">
        <v>220</v>
      </c>
      <c r="B15" t="s">
        <v>10</v>
      </c>
      <c r="C15">
        <v>16</v>
      </c>
      <c r="D15">
        <v>8</v>
      </c>
    </row>
    <row r="16" spans="1:10" x14ac:dyDescent="0.35">
      <c r="A16">
        <v>221</v>
      </c>
      <c r="B16" t="s">
        <v>10</v>
      </c>
      <c r="C16">
        <v>17</v>
      </c>
      <c r="D16">
        <v>53</v>
      </c>
    </row>
    <row r="17" spans="1:4" x14ac:dyDescent="0.35">
      <c r="A17">
        <v>222</v>
      </c>
      <c r="B17" t="s">
        <v>10</v>
      </c>
      <c r="C17">
        <v>17</v>
      </c>
      <c r="D17">
        <v>13</v>
      </c>
    </row>
    <row r="18" spans="1:4" x14ac:dyDescent="0.35">
      <c r="A18">
        <v>223</v>
      </c>
      <c r="B18" t="s">
        <v>10</v>
      </c>
      <c r="C18">
        <v>17</v>
      </c>
      <c r="D18">
        <v>59</v>
      </c>
    </row>
    <row r="19" spans="1:4" x14ac:dyDescent="0.35">
      <c r="A19">
        <v>224</v>
      </c>
      <c r="B19" t="s">
        <v>10</v>
      </c>
      <c r="C19">
        <v>17</v>
      </c>
      <c r="D19">
        <v>12</v>
      </c>
    </row>
    <row r="20" spans="1:4" x14ac:dyDescent="0.35">
      <c r="A20">
        <v>225</v>
      </c>
      <c r="B20" t="s">
        <v>10</v>
      </c>
      <c r="C20">
        <v>17</v>
      </c>
      <c r="D20">
        <v>24</v>
      </c>
    </row>
    <row r="21" spans="1:4" x14ac:dyDescent="0.35">
      <c r="A21">
        <v>226</v>
      </c>
      <c r="B21" t="s">
        <v>10</v>
      </c>
      <c r="C21">
        <v>17</v>
      </c>
      <c r="D21">
        <v>33</v>
      </c>
    </row>
    <row r="22" spans="1:4" x14ac:dyDescent="0.35">
      <c r="A22">
        <v>227</v>
      </c>
      <c r="B22" t="s">
        <v>10</v>
      </c>
      <c r="C22">
        <v>17</v>
      </c>
      <c r="D22">
        <v>16</v>
      </c>
    </row>
    <row r="23" spans="1:4" x14ac:dyDescent="0.35">
      <c r="A23">
        <v>228</v>
      </c>
      <c r="B23" t="s">
        <v>10</v>
      </c>
      <c r="C23">
        <v>17</v>
      </c>
      <c r="D23">
        <v>23</v>
      </c>
    </row>
    <row r="24" spans="1:4" x14ac:dyDescent="0.35">
      <c r="A24">
        <v>229</v>
      </c>
      <c r="B24" t="s">
        <v>10</v>
      </c>
      <c r="C24">
        <v>17</v>
      </c>
      <c r="D24">
        <v>35</v>
      </c>
    </row>
    <row r="25" spans="1:4" x14ac:dyDescent="0.35">
      <c r="A25">
        <v>230</v>
      </c>
      <c r="B25" t="s">
        <v>11</v>
      </c>
      <c r="C25">
        <v>18</v>
      </c>
      <c r="D25">
        <v>33</v>
      </c>
    </row>
    <row r="26" spans="1:4" x14ac:dyDescent="0.35">
      <c r="A26">
        <v>231</v>
      </c>
      <c r="B26" t="s">
        <v>11</v>
      </c>
      <c r="C26">
        <v>18</v>
      </c>
      <c r="D26">
        <v>25</v>
      </c>
    </row>
    <row r="27" spans="1:4" x14ac:dyDescent="0.35">
      <c r="A27">
        <v>232</v>
      </c>
      <c r="B27" t="s">
        <v>11</v>
      </c>
      <c r="C27">
        <v>18</v>
      </c>
      <c r="D27">
        <v>21</v>
      </c>
    </row>
    <row r="28" spans="1:4" x14ac:dyDescent="0.35">
      <c r="A28">
        <v>233</v>
      </c>
      <c r="B28" t="s">
        <v>11</v>
      </c>
      <c r="C28">
        <v>18</v>
      </c>
      <c r="D28">
        <v>13</v>
      </c>
    </row>
    <row r="29" spans="1:4" x14ac:dyDescent="0.35">
      <c r="A29">
        <v>234</v>
      </c>
      <c r="B29" t="s">
        <v>11</v>
      </c>
      <c r="C29">
        <v>18</v>
      </c>
      <c r="D29">
        <v>11</v>
      </c>
    </row>
    <row r="30" spans="1:4" x14ac:dyDescent="0.35">
      <c r="A30">
        <v>235</v>
      </c>
      <c r="B30" t="s">
        <v>11</v>
      </c>
      <c r="C30">
        <v>18</v>
      </c>
      <c r="D30">
        <v>16</v>
      </c>
    </row>
    <row r="31" spans="1:4" x14ac:dyDescent="0.35">
      <c r="A31">
        <v>236</v>
      </c>
      <c r="B31" t="s">
        <v>11</v>
      </c>
      <c r="C31">
        <v>18</v>
      </c>
      <c r="D31">
        <v>39</v>
      </c>
    </row>
    <row r="32" spans="1:4" x14ac:dyDescent="0.35">
      <c r="A32">
        <v>237</v>
      </c>
      <c r="B32" t="s">
        <v>11</v>
      </c>
      <c r="C32">
        <v>18</v>
      </c>
      <c r="D32">
        <v>28</v>
      </c>
    </row>
    <row r="33" spans="1:4" x14ac:dyDescent="0.35">
      <c r="A33">
        <v>238</v>
      </c>
      <c r="B33" t="s">
        <v>11</v>
      </c>
      <c r="C33">
        <v>18</v>
      </c>
      <c r="D33">
        <v>11</v>
      </c>
    </row>
    <row r="34" spans="1:4" x14ac:dyDescent="0.35">
      <c r="A34">
        <v>239</v>
      </c>
      <c r="B34" t="s">
        <v>11</v>
      </c>
      <c r="C34">
        <v>18</v>
      </c>
      <c r="D34">
        <v>14</v>
      </c>
    </row>
    <row r="35" spans="1:4" x14ac:dyDescent="0.35">
      <c r="A35">
        <v>240</v>
      </c>
      <c r="B35" t="s">
        <v>11</v>
      </c>
      <c r="C35">
        <v>18</v>
      </c>
      <c r="D35">
        <v>14</v>
      </c>
    </row>
    <row r="36" spans="1:4" x14ac:dyDescent="0.35">
      <c r="A36">
        <v>241</v>
      </c>
      <c r="B36" t="s">
        <v>11</v>
      </c>
      <c r="C36">
        <v>18</v>
      </c>
      <c r="D36">
        <v>12</v>
      </c>
    </row>
    <row r="37" spans="1:4" x14ac:dyDescent="0.35">
      <c r="A37">
        <v>242</v>
      </c>
      <c r="B37" t="s">
        <v>11</v>
      </c>
      <c r="C37">
        <v>18</v>
      </c>
      <c r="D37">
        <v>37</v>
      </c>
    </row>
    <row r="38" spans="1:4" x14ac:dyDescent="0.35">
      <c r="A38">
        <v>243</v>
      </c>
      <c r="B38" t="s">
        <v>11</v>
      </c>
      <c r="C38">
        <v>18</v>
      </c>
      <c r="D38">
        <v>15</v>
      </c>
    </row>
    <row r="39" spans="1:4" x14ac:dyDescent="0.35">
      <c r="A39">
        <v>244</v>
      </c>
      <c r="B39" t="s">
        <v>11</v>
      </c>
      <c r="C39">
        <v>18</v>
      </c>
      <c r="D39">
        <v>15</v>
      </c>
    </row>
    <row r="40" spans="1:4" x14ac:dyDescent="0.35">
      <c r="A40">
        <v>245</v>
      </c>
      <c r="B40" t="s">
        <v>11</v>
      </c>
      <c r="C40">
        <v>19</v>
      </c>
      <c r="D40">
        <v>41</v>
      </c>
    </row>
    <row r="41" spans="1:4" x14ac:dyDescent="0.35">
      <c r="A41">
        <v>246</v>
      </c>
      <c r="B41" t="s">
        <v>11</v>
      </c>
      <c r="C41">
        <v>19</v>
      </c>
      <c r="D41">
        <v>20</v>
      </c>
    </row>
    <row r="42" spans="1:4" x14ac:dyDescent="0.35">
      <c r="A42">
        <v>247</v>
      </c>
      <c r="B42" t="s">
        <v>11</v>
      </c>
      <c r="C42">
        <v>19</v>
      </c>
      <c r="D42">
        <v>23</v>
      </c>
    </row>
    <row r="43" spans="1:4" x14ac:dyDescent="0.35">
      <c r="A43">
        <v>248</v>
      </c>
      <c r="B43" t="s">
        <v>11</v>
      </c>
      <c r="C43">
        <v>19</v>
      </c>
      <c r="D43">
        <v>13</v>
      </c>
    </row>
    <row r="44" spans="1:4" x14ac:dyDescent="0.35">
      <c r="A44">
        <v>249</v>
      </c>
      <c r="B44" t="s">
        <v>11</v>
      </c>
      <c r="C44">
        <v>19</v>
      </c>
      <c r="D44">
        <v>16</v>
      </c>
    </row>
    <row r="45" spans="1:4" x14ac:dyDescent="0.35">
      <c r="A45">
        <v>250</v>
      </c>
      <c r="B45" t="s">
        <v>11</v>
      </c>
      <c r="C45">
        <v>19</v>
      </c>
      <c r="D45">
        <v>5</v>
      </c>
    </row>
    <row r="46" spans="1:4" x14ac:dyDescent="0.35">
      <c r="A46">
        <v>251</v>
      </c>
      <c r="B46" t="s">
        <v>11</v>
      </c>
      <c r="C46">
        <v>19</v>
      </c>
      <c r="D46">
        <v>27</v>
      </c>
    </row>
    <row r="47" spans="1:4" x14ac:dyDescent="0.35">
      <c r="A47">
        <v>252</v>
      </c>
      <c r="B47" t="s">
        <v>11</v>
      </c>
      <c r="C47">
        <v>19</v>
      </c>
      <c r="D47">
        <v>17</v>
      </c>
    </row>
    <row r="48" spans="1:4" x14ac:dyDescent="0.35">
      <c r="A48">
        <v>253</v>
      </c>
      <c r="B48" t="s">
        <v>11</v>
      </c>
      <c r="C48">
        <v>19</v>
      </c>
      <c r="D48">
        <v>8</v>
      </c>
    </row>
    <row r="49" spans="1:4" x14ac:dyDescent="0.35">
      <c r="A49">
        <v>254</v>
      </c>
      <c r="B49" t="s">
        <v>11</v>
      </c>
      <c r="C49">
        <v>19</v>
      </c>
      <c r="D49">
        <v>22</v>
      </c>
    </row>
    <row r="50" spans="1:4" x14ac:dyDescent="0.35">
      <c r="A50">
        <v>255</v>
      </c>
      <c r="B50" t="s">
        <v>11</v>
      </c>
      <c r="C50">
        <v>19</v>
      </c>
      <c r="D50">
        <v>14</v>
      </c>
    </row>
    <row r="51" spans="1:4" x14ac:dyDescent="0.35">
      <c r="A51">
        <v>256</v>
      </c>
      <c r="B51" t="s">
        <v>11</v>
      </c>
      <c r="C51">
        <v>20</v>
      </c>
      <c r="D51">
        <v>25</v>
      </c>
    </row>
    <row r="52" spans="1:4" x14ac:dyDescent="0.35">
      <c r="A52">
        <v>257</v>
      </c>
      <c r="B52" t="s">
        <v>11</v>
      </c>
      <c r="C52">
        <v>20</v>
      </c>
      <c r="D52">
        <v>20</v>
      </c>
    </row>
    <row r="53" spans="1:4" x14ac:dyDescent="0.35">
      <c r="A53">
        <v>258</v>
      </c>
      <c r="B53" t="s">
        <v>11</v>
      </c>
      <c r="C53">
        <v>20</v>
      </c>
      <c r="D53">
        <v>34</v>
      </c>
    </row>
    <row r="54" spans="1:4" x14ac:dyDescent="0.35">
      <c r="A54">
        <v>259</v>
      </c>
      <c r="B54" t="s">
        <v>11</v>
      </c>
      <c r="C54">
        <v>20</v>
      </c>
      <c r="D54">
        <v>21</v>
      </c>
    </row>
    <row r="55" spans="1:4" x14ac:dyDescent="0.35">
      <c r="A55">
        <v>260</v>
      </c>
      <c r="B55" t="s">
        <v>11</v>
      </c>
      <c r="C55">
        <v>20</v>
      </c>
      <c r="D55">
        <v>32</v>
      </c>
    </row>
    <row r="56" spans="1:4" x14ac:dyDescent="0.35">
      <c r="A56">
        <v>261</v>
      </c>
      <c r="B56" t="s">
        <v>11</v>
      </c>
      <c r="C56">
        <v>20</v>
      </c>
      <c r="D56">
        <v>5</v>
      </c>
    </row>
    <row r="57" spans="1:4" x14ac:dyDescent="0.35">
      <c r="A57">
        <v>262</v>
      </c>
      <c r="B57" t="s">
        <v>11</v>
      </c>
      <c r="C57">
        <v>20</v>
      </c>
      <c r="D57">
        <v>25</v>
      </c>
    </row>
    <row r="58" spans="1:4" x14ac:dyDescent="0.35">
      <c r="A58">
        <v>263</v>
      </c>
      <c r="B58" t="s">
        <v>11</v>
      </c>
      <c r="C58">
        <v>20</v>
      </c>
      <c r="D58">
        <v>20</v>
      </c>
    </row>
    <row r="59" spans="1:4" x14ac:dyDescent="0.35">
      <c r="A59">
        <v>264</v>
      </c>
      <c r="B59" t="s">
        <v>11</v>
      </c>
      <c r="C59">
        <v>20</v>
      </c>
      <c r="D59">
        <v>8</v>
      </c>
    </row>
    <row r="60" spans="1:4" x14ac:dyDescent="0.35">
      <c r="A60">
        <v>265</v>
      </c>
      <c r="B60" t="s">
        <v>11</v>
      </c>
      <c r="C60">
        <v>20</v>
      </c>
      <c r="D60">
        <v>8</v>
      </c>
    </row>
    <row r="61" spans="1:4" x14ac:dyDescent="0.35">
      <c r="A61">
        <v>266</v>
      </c>
      <c r="B61" t="s">
        <v>11</v>
      </c>
      <c r="C61">
        <v>20</v>
      </c>
      <c r="D61">
        <v>4</v>
      </c>
    </row>
    <row r="62" spans="1:4" x14ac:dyDescent="0.35">
      <c r="A62">
        <v>267</v>
      </c>
      <c r="B62" t="s">
        <v>11</v>
      </c>
      <c r="C62">
        <v>20</v>
      </c>
      <c r="D62">
        <v>7</v>
      </c>
    </row>
    <row r="63" spans="1:4" x14ac:dyDescent="0.35">
      <c r="A63">
        <v>268</v>
      </c>
      <c r="B63" t="s">
        <v>11</v>
      </c>
      <c r="C63">
        <v>20</v>
      </c>
      <c r="D63">
        <v>6</v>
      </c>
    </row>
    <row r="64" spans="1:4" x14ac:dyDescent="0.35">
      <c r="A64">
        <v>1</v>
      </c>
      <c r="B64" t="s">
        <v>3</v>
      </c>
      <c r="C64">
        <v>1</v>
      </c>
      <c r="D64">
        <v>39</v>
      </c>
    </row>
    <row r="65" spans="1:4" x14ac:dyDescent="0.35">
      <c r="A65">
        <v>2</v>
      </c>
      <c r="B65" t="s">
        <v>3</v>
      </c>
      <c r="C65">
        <v>1</v>
      </c>
      <c r="D65">
        <v>27</v>
      </c>
    </row>
    <row r="66" spans="1:4" x14ac:dyDescent="0.35">
      <c r="A66">
        <v>3</v>
      </c>
      <c r="B66" t="s">
        <v>3</v>
      </c>
      <c r="C66">
        <v>1</v>
      </c>
      <c r="D66">
        <v>27</v>
      </c>
    </row>
    <row r="67" spans="1:4" x14ac:dyDescent="0.35">
      <c r="A67">
        <v>4</v>
      </c>
      <c r="B67" t="s">
        <v>3</v>
      </c>
      <c r="C67">
        <v>1</v>
      </c>
      <c r="D67">
        <v>16</v>
      </c>
    </row>
    <row r="68" spans="1:4" x14ac:dyDescent="0.35">
      <c r="A68">
        <v>5</v>
      </c>
      <c r="B68" t="s">
        <v>3</v>
      </c>
      <c r="C68">
        <v>1</v>
      </c>
      <c r="D68">
        <v>10</v>
      </c>
    </row>
    <row r="69" spans="1:4" x14ac:dyDescent="0.35">
      <c r="A69">
        <v>6</v>
      </c>
      <c r="B69" t="s">
        <v>3</v>
      </c>
      <c r="C69">
        <v>1</v>
      </c>
      <c r="D69">
        <v>21</v>
      </c>
    </row>
    <row r="70" spans="1:4" x14ac:dyDescent="0.35">
      <c r="A70">
        <v>7</v>
      </c>
      <c r="B70" t="s">
        <v>3</v>
      </c>
      <c r="C70">
        <v>1</v>
      </c>
      <c r="D70">
        <v>8</v>
      </c>
    </row>
    <row r="71" spans="1:4" x14ac:dyDescent="0.35">
      <c r="A71">
        <v>8</v>
      </c>
      <c r="B71" t="s">
        <v>3</v>
      </c>
      <c r="C71">
        <v>1</v>
      </c>
      <c r="D71">
        <v>43</v>
      </c>
    </row>
    <row r="72" spans="1:4" x14ac:dyDescent="0.35">
      <c r="A72">
        <v>9</v>
      </c>
      <c r="B72" t="s">
        <v>3</v>
      </c>
      <c r="C72">
        <v>1</v>
      </c>
      <c r="D72">
        <v>14</v>
      </c>
    </row>
    <row r="73" spans="1:4" x14ac:dyDescent="0.35">
      <c r="A73">
        <v>10</v>
      </c>
      <c r="B73" t="s">
        <v>3</v>
      </c>
      <c r="C73">
        <v>1</v>
      </c>
      <c r="D73">
        <v>17</v>
      </c>
    </row>
    <row r="74" spans="1:4" x14ac:dyDescent="0.35">
      <c r="A74">
        <v>11</v>
      </c>
      <c r="B74" t="s">
        <v>3</v>
      </c>
      <c r="C74">
        <v>1</v>
      </c>
      <c r="D74">
        <v>5</v>
      </c>
    </row>
    <row r="75" spans="1:4" x14ac:dyDescent="0.35">
      <c r="A75">
        <v>12</v>
      </c>
      <c r="B75" t="s">
        <v>3</v>
      </c>
      <c r="C75">
        <v>1</v>
      </c>
      <c r="D75">
        <v>19</v>
      </c>
    </row>
    <row r="76" spans="1:4" x14ac:dyDescent="0.35">
      <c r="A76">
        <v>13</v>
      </c>
      <c r="B76" t="s">
        <v>3</v>
      </c>
      <c r="C76">
        <v>1</v>
      </c>
      <c r="D76">
        <v>19</v>
      </c>
    </row>
    <row r="77" spans="1:4" x14ac:dyDescent="0.35">
      <c r="A77">
        <v>14</v>
      </c>
      <c r="B77" t="s">
        <v>3</v>
      </c>
      <c r="C77">
        <v>1</v>
      </c>
      <c r="D77">
        <v>21</v>
      </c>
    </row>
    <row r="78" spans="1:4" x14ac:dyDescent="0.35">
      <c r="A78">
        <v>15</v>
      </c>
      <c r="B78" t="s">
        <v>3</v>
      </c>
      <c r="C78">
        <v>1</v>
      </c>
      <c r="D78">
        <v>25</v>
      </c>
    </row>
    <row r="79" spans="1:4" x14ac:dyDescent="0.35">
      <c r="A79">
        <v>16</v>
      </c>
      <c r="B79" t="s">
        <v>3</v>
      </c>
      <c r="C79">
        <v>1</v>
      </c>
      <c r="D79">
        <v>11</v>
      </c>
    </row>
    <row r="80" spans="1:4" x14ac:dyDescent="0.35">
      <c r="A80">
        <v>17</v>
      </c>
      <c r="B80" t="s">
        <v>3</v>
      </c>
      <c r="C80">
        <v>1</v>
      </c>
      <c r="D80">
        <v>4</v>
      </c>
    </row>
    <row r="81" spans="1:4" x14ac:dyDescent="0.35">
      <c r="A81">
        <v>18</v>
      </c>
      <c r="B81" t="s">
        <v>3</v>
      </c>
      <c r="C81">
        <v>1</v>
      </c>
      <c r="D81">
        <v>13</v>
      </c>
    </row>
    <row r="82" spans="1:4" x14ac:dyDescent="0.35">
      <c r="A82">
        <v>19</v>
      </c>
      <c r="B82" t="s">
        <v>3</v>
      </c>
      <c r="C82">
        <v>1</v>
      </c>
      <c r="D82">
        <v>15</v>
      </c>
    </row>
    <row r="83" spans="1:4" x14ac:dyDescent="0.35">
      <c r="A83">
        <v>20</v>
      </c>
      <c r="B83" t="s">
        <v>3</v>
      </c>
      <c r="C83">
        <v>1</v>
      </c>
      <c r="D83">
        <v>8</v>
      </c>
    </row>
    <row r="84" spans="1:4" x14ac:dyDescent="0.35">
      <c r="A84">
        <v>21</v>
      </c>
      <c r="B84" t="s">
        <v>3</v>
      </c>
      <c r="C84">
        <v>1</v>
      </c>
      <c r="D84">
        <v>25</v>
      </c>
    </row>
    <row r="85" spans="1:4" x14ac:dyDescent="0.35">
      <c r="A85">
        <v>22</v>
      </c>
      <c r="B85" t="s">
        <v>3</v>
      </c>
      <c r="C85">
        <v>1</v>
      </c>
      <c r="D85">
        <v>22</v>
      </c>
    </row>
    <row r="86" spans="1:4" x14ac:dyDescent="0.35">
      <c r="A86">
        <v>42</v>
      </c>
      <c r="B86" t="s">
        <v>3</v>
      </c>
      <c r="C86">
        <v>3</v>
      </c>
      <c r="D86">
        <v>14</v>
      </c>
    </row>
    <row r="87" spans="1:4" x14ac:dyDescent="0.35">
      <c r="A87">
        <v>43</v>
      </c>
      <c r="B87" t="s">
        <v>3</v>
      </c>
      <c r="C87">
        <v>3</v>
      </c>
      <c r="D87">
        <v>15</v>
      </c>
    </row>
    <row r="88" spans="1:4" x14ac:dyDescent="0.35">
      <c r="A88">
        <v>44</v>
      </c>
      <c r="B88" t="s">
        <v>3</v>
      </c>
      <c r="C88">
        <v>3</v>
      </c>
      <c r="D88">
        <v>16</v>
      </c>
    </row>
    <row r="89" spans="1:4" x14ac:dyDescent="0.35">
      <c r="A89">
        <v>45</v>
      </c>
      <c r="B89" t="s">
        <v>3</v>
      </c>
      <c r="C89">
        <v>3</v>
      </c>
      <c r="D89">
        <v>34</v>
      </c>
    </row>
    <row r="90" spans="1:4" x14ac:dyDescent="0.35">
      <c r="A90">
        <v>46</v>
      </c>
      <c r="B90" t="s">
        <v>3</v>
      </c>
      <c r="C90">
        <v>3</v>
      </c>
      <c r="D90">
        <v>21</v>
      </c>
    </row>
    <row r="91" spans="1:4" x14ac:dyDescent="0.35">
      <c r="A91">
        <v>47</v>
      </c>
      <c r="B91" t="s">
        <v>3</v>
      </c>
      <c r="C91">
        <v>3</v>
      </c>
      <c r="D91">
        <v>11</v>
      </c>
    </row>
    <row r="92" spans="1:4" x14ac:dyDescent="0.35">
      <c r="A92">
        <v>48</v>
      </c>
      <c r="B92" t="s">
        <v>3</v>
      </c>
      <c r="C92">
        <v>3</v>
      </c>
      <c r="D92">
        <v>28</v>
      </c>
    </row>
    <row r="93" spans="1:4" x14ac:dyDescent="0.35">
      <c r="A93">
        <v>49</v>
      </c>
      <c r="B93" t="s">
        <v>3</v>
      </c>
      <c r="C93">
        <v>3</v>
      </c>
      <c r="D93">
        <v>8</v>
      </c>
    </row>
    <row r="94" spans="1:4" x14ac:dyDescent="0.35">
      <c r="A94">
        <v>50</v>
      </c>
      <c r="B94" t="s">
        <v>3</v>
      </c>
      <c r="C94">
        <v>3</v>
      </c>
      <c r="D94">
        <v>15</v>
      </c>
    </row>
    <row r="95" spans="1:4" x14ac:dyDescent="0.35">
      <c r="A95">
        <v>51</v>
      </c>
      <c r="B95" t="s">
        <v>3</v>
      </c>
      <c r="C95">
        <v>3</v>
      </c>
      <c r="D95">
        <v>12</v>
      </c>
    </row>
    <row r="96" spans="1:4" x14ac:dyDescent="0.35">
      <c r="A96">
        <v>52</v>
      </c>
      <c r="B96" t="s">
        <v>3</v>
      </c>
      <c r="C96">
        <v>3</v>
      </c>
      <c r="D96">
        <v>22</v>
      </c>
    </row>
    <row r="97" spans="1:4" x14ac:dyDescent="0.35">
      <c r="A97">
        <v>53</v>
      </c>
      <c r="B97" t="s">
        <v>3</v>
      </c>
      <c r="C97">
        <v>3</v>
      </c>
      <c r="D97">
        <v>16</v>
      </c>
    </row>
    <row r="98" spans="1:4" x14ac:dyDescent="0.35">
      <c r="A98">
        <v>54</v>
      </c>
      <c r="B98" t="s">
        <v>3</v>
      </c>
      <c r="C98">
        <v>3</v>
      </c>
      <c r="D98">
        <v>7</v>
      </c>
    </row>
    <row r="99" spans="1:4" x14ac:dyDescent="0.35">
      <c r="A99">
        <v>55</v>
      </c>
      <c r="B99" t="s">
        <v>3</v>
      </c>
      <c r="C99">
        <v>3</v>
      </c>
      <c r="D99">
        <v>26</v>
      </c>
    </row>
    <row r="100" spans="1:4" x14ac:dyDescent="0.35">
      <c r="A100">
        <v>56</v>
      </c>
      <c r="B100" t="s">
        <v>3</v>
      </c>
      <c r="C100">
        <v>3</v>
      </c>
      <c r="D100">
        <v>21</v>
      </c>
    </row>
    <row r="101" spans="1:4" x14ac:dyDescent="0.35">
      <c r="A101">
        <v>57</v>
      </c>
      <c r="B101" t="s">
        <v>3</v>
      </c>
      <c r="C101">
        <v>3</v>
      </c>
      <c r="D101">
        <v>15</v>
      </c>
    </row>
    <row r="102" spans="1:4" x14ac:dyDescent="0.35">
      <c r="A102">
        <v>58</v>
      </c>
      <c r="B102" t="s">
        <v>3</v>
      </c>
      <c r="C102">
        <v>3</v>
      </c>
      <c r="D102">
        <v>11</v>
      </c>
    </row>
    <row r="103" spans="1:4" x14ac:dyDescent="0.35">
      <c r="A103">
        <v>59</v>
      </c>
      <c r="B103" t="s">
        <v>3</v>
      </c>
      <c r="C103">
        <v>3</v>
      </c>
      <c r="D103">
        <v>11</v>
      </c>
    </row>
    <row r="104" spans="1:4" x14ac:dyDescent="0.35">
      <c r="A104">
        <v>75</v>
      </c>
      <c r="B104" t="s">
        <v>3</v>
      </c>
      <c r="C104" t="s">
        <v>5</v>
      </c>
      <c r="D104">
        <v>7</v>
      </c>
    </row>
    <row r="105" spans="1:4" x14ac:dyDescent="0.35">
      <c r="A105">
        <v>76</v>
      </c>
      <c r="B105" t="s">
        <v>3</v>
      </c>
      <c r="C105" t="s">
        <v>5</v>
      </c>
      <c r="D105">
        <v>18</v>
      </c>
    </row>
    <row r="106" spans="1:4" x14ac:dyDescent="0.35">
      <c r="A106">
        <v>77</v>
      </c>
      <c r="B106" t="s">
        <v>3</v>
      </c>
      <c r="C106" t="s">
        <v>5</v>
      </c>
      <c r="D106">
        <v>9</v>
      </c>
    </row>
    <row r="107" spans="1:4" x14ac:dyDescent="0.35">
      <c r="A107">
        <v>78</v>
      </c>
      <c r="B107" t="s">
        <v>3</v>
      </c>
      <c r="C107" t="s">
        <v>5</v>
      </c>
      <c r="D107">
        <v>19</v>
      </c>
    </row>
    <row r="108" spans="1:4" x14ac:dyDescent="0.35">
      <c r="A108">
        <v>79</v>
      </c>
      <c r="B108" t="s">
        <v>3</v>
      </c>
      <c r="C108" t="s">
        <v>5</v>
      </c>
      <c r="D108">
        <v>26</v>
      </c>
    </row>
    <row r="109" spans="1:4" x14ac:dyDescent="0.35">
      <c r="A109">
        <v>80</v>
      </c>
      <c r="B109" t="s">
        <v>3</v>
      </c>
      <c r="C109" t="s">
        <v>5</v>
      </c>
      <c r="D109">
        <v>21</v>
      </c>
    </row>
    <row r="110" spans="1:4" x14ac:dyDescent="0.35">
      <c r="A110">
        <v>81</v>
      </c>
      <c r="B110" t="s">
        <v>3</v>
      </c>
      <c r="C110" t="s">
        <v>5</v>
      </c>
      <c r="D110">
        <v>42</v>
      </c>
    </row>
    <row r="111" spans="1:4" x14ac:dyDescent="0.35">
      <c r="A111">
        <v>82</v>
      </c>
      <c r="B111" t="s">
        <v>3</v>
      </c>
      <c r="C111" t="s">
        <v>5</v>
      </c>
      <c r="D111">
        <v>16</v>
      </c>
    </row>
    <row r="112" spans="1:4" x14ac:dyDescent="0.35">
      <c r="A112">
        <v>83</v>
      </c>
      <c r="B112" t="s">
        <v>3</v>
      </c>
      <c r="C112" t="s">
        <v>5</v>
      </c>
      <c r="D112">
        <v>14</v>
      </c>
    </row>
    <row r="113" spans="1:4" x14ac:dyDescent="0.35">
      <c r="A113">
        <v>84</v>
      </c>
      <c r="B113" t="s">
        <v>3</v>
      </c>
      <c r="C113" t="s">
        <v>5</v>
      </c>
      <c r="D113">
        <v>14</v>
      </c>
    </row>
    <row r="114" spans="1:4" x14ac:dyDescent="0.35">
      <c r="A114">
        <v>85</v>
      </c>
      <c r="B114" t="s">
        <v>3</v>
      </c>
      <c r="C114" t="s">
        <v>5</v>
      </c>
      <c r="D114">
        <v>28</v>
      </c>
    </row>
    <row r="115" spans="1:4" x14ac:dyDescent="0.35">
      <c r="A115">
        <v>86</v>
      </c>
      <c r="B115" t="s">
        <v>3</v>
      </c>
      <c r="C115" t="s">
        <v>5</v>
      </c>
      <c r="D115">
        <v>20</v>
      </c>
    </row>
    <row r="116" spans="1:4" x14ac:dyDescent="0.35">
      <c r="A116">
        <v>87</v>
      </c>
      <c r="B116" t="s">
        <v>3</v>
      </c>
      <c r="C116" t="s">
        <v>5</v>
      </c>
      <c r="D116">
        <v>9</v>
      </c>
    </row>
    <row r="117" spans="1:4" x14ac:dyDescent="0.35">
      <c r="A117">
        <v>88</v>
      </c>
      <c r="B117" t="s">
        <v>3</v>
      </c>
      <c r="C117" t="s">
        <v>5</v>
      </c>
      <c r="D117">
        <v>12</v>
      </c>
    </row>
    <row r="118" spans="1:4" x14ac:dyDescent="0.35">
      <c r="A118">
        <v>89</v>
      </c>
      <c r="B118" t="s">
        <v>3</v>
      </c>
      <c r="C118" t="s">
        <v>5</v>
      </c>
      <c r="D118">
        <v>8</v>
      </c>
    </row>
    <row r="119" spans="1:4" x14ac:dyDescent="0.35">
      <c r="A119">
        <v>90</v>
      </c>
      <c r="B119" t="s">
        <v>3</v>
      </c>
      <c r="C119" t="s">
        <v>5</v>
      </c>
      <c r="D119">
        <v>17</v>
      </c>
    </row>
    <row r="120" spans="1:4" x14ac:dyDescent="0.35">
      <c r="A120">
        <v>91</v>
      </c>
      <c r="B120" t="s">
        <v>3</v>
      </c>
      <c r="C120" t="s">
        <v>5</v>
      </c>
      <c r="D120">
        <v>8</v>
      </c>
    </row>
    <row r="121" spans="1:4" x14ac:dyDescent="0.35">
      <c r="A121">
        <v>92</v>
      </c>
      <c r="B121" t="s">
        <v>3</v>
      </c>
      <c r="C121" t="s">
        <v>5</v>
      </c>
      <c r="D121">
        <v>11</v>
      </c>
    </row>
    <row r="122" spans="1:4" x14ac:dyDescent="0.35">
      <c r="A122">
        <v>93</v>
      </c>
      <c r="B122" t="s">
        <v>3</v>
      </c>
      <c r="C122" t="s">
        <v>5</v>
      </c>
      <c r="D122">
        <v>8</v>
      </c>
    </row>
    <row r="123" spans="1:4" x14ac:dyDescent="0.35">
      <c r="A123">
        <v>94</v>
      </c>
      <c r="B123" t="s">
        <v>3</v>
      </c>
      <c r="C123" t="s">
        <v>5</v>
      </c>
      <c r="D123">
        <v>13</v>
      </c>
    </row>
    <row r="124" spans="1:4" x14ac:dyDescent="0.35">
      <c r="A124">
        <v>117</v>
      </c>
      <c r="B124" t="s">
        <v>3</v>
      </c>
      <c r="C124">
        <v>9</v>
      </c>
      <c r="D124">
        <v>8</v>
      </c>
    </row>
    <row r="125" spans="1:4" x14ac:dyDescent="0.35">
      <c r="A125">
        <v>118</v>
      </c>
      <c r="B125" t="s">
        <v>3</v>
      </c>
      <c r="C125">
        <v>9</v>
      </c>
      <c r="D125">
        <v>2</v>
      </c>
    </row>
    <row r="126" spans="1:4" x14ac:dyDescent="0.35">
      <c r="A126">
        <v>119</v>
      </c>
      <c r="B126" t="s">
        <v>3</v>
      </c>
      <c r="C126">
        <v>9</v>
      </c>
      <c r="D126">
        <v>17</v>
      </c>
    </row>
    <row r="127" spans="1:4" x14ac:dyDescent="0.35">
      <c r="A127">
        <v>120</v>
      </c>
      <c r="B127" t="s">
        <v>3</v>
      </c>
      <c r="C127">
        <v>9</v>
      </c>
      <c r="D127">
        <v>7</v>
      </c>
    </row>
    <row r="128" spans="1:4" x14ac:dyDescent="0.35">
      <c r="A128">
        <v>121</v>
      </c>
      <c r="B128" t="s">
        <v>3</v>
      </c>
      <c r="C128">
        <v>9</v>
      </c>
      <c r="D128">
        <v>19</v>
      </c>
    </row>
    <row r="129" spans="1:4" x14ac:dyDescent="0.35">
      <c r="A129">
        <v>122</v>
      </c>
      <c r="B129" t="s">
        <v>3</v>
      </c>
      <c r="C129">
        <v>9</v>
      </c>
      <c r="D129">
        <v>8</v>
      </c>
    </row>
    <row r="130" spans="1:4" x14ac:dyDescent="0.35">
      <c r="A130">
        <v>123</v>
      </c>
      <c r="B130" t="s">
        <v>3</v>
      </c>
      <c r="C130">
        <v>9</v>
      </c>
      <c r="D130">
        <v>18</v>
      </c>
    </row>
    <row r="131" spans="1:4" x14ac:dyDescent="0.35">
      <c r="A131">
        <v>124</v>
      </c>
      <c r="B131" t="s">
        <v>3</v>
      </c>
      <c r="C131">
        <v>9</v>
      </c>
      <c r="D131">
        <v>7</v>
      </c>
    </row>
    <row r="132" spans="1:4" x14ac:dyDescent="0.35">
      <c r="A132">
        <v>125</v>
      </c>
      <c r="B132" t="s">
        <v>3</v>
      </c>
      <c r="C132">
        <v>9</v>
      </c>
      <c r="D132">
        <v>17</v>
      </c>
    </row>
    <row r="133" spans="1:4" x14ac:dyDescent="0.35">
      <c r="A133">
        <v>126</v>
      </c>
      <c r="B133" t="s">
        <v>3</v>
      </c>
      <c r="C133">
        <v>9</v>
      </c>
      <c r="D133">
        <v>17</v>
      </c>
    </row>
    <row r="134" spans="1:4" x14ac:dyDescent="0.35">
      <c r="A134">
        <v>127</v>
      </c>
      <c r="B134" t="s">
        <v>3</v>
      </c>
      <c r="C134">
        <v>9</v>
      </c>
      <c r="D134">
        <v>23</v>
      </c>
    </row>
    <row r="135" spans="1:4" x14ac:dyDescent="0.35">
      <c r="A135">
        <v>142</v>
      </c>
      <c r="B135" t="s">
        <v>7</v>
      </c>
      <c r="C135" t="s">
        <v>8</v>
      </c>
      <c r="D135">
        <v>19</v>
      </c>
    </row>
    <row r="136" spans="1:4" x14ac:dyDescent="0.35">
      <c r="A136">
        <v>143</v>
      </c>
      <c r="B136" t="s">
        <v>7</v>
      </c>
      <c r="C136" t="s">
        <v>8</v>
      </c>
      <c r="D136">
        <v>21</v>
      </c>
    </row>
    <row r="137" spans="1:4" x14ac:dyDescent="0.35">
      <c r="A137">
        <v>144</v>
      </c>
      <c r="B137" t="s">
        <v>7</v>
      </c>
      <c r="C137" t="s">
        <v>8</v>
      </c>
      <c r="D137">
        <v>14</v>
      </c>
    </row>
    <row r="138" spans="1:4" x14ac:dyDescent="0.35">
      <c r="A138">
        <v>145</v>
      </c>
      <c r="B138" t="s">
        <v>7</v>
      </c>
      <c r="C138" t="s">
        <v>8</v>
      </c>
      <c r="D138">
        <v>12</v>
      </c>
    </row>
    <row r="139" spans="1:4" x14ac:dyDescent="0.35">
      <c r="A139">
        <v>146</v>
      </c>
      <c r="B139" t="s">
        <v>7</v>
      </c>
      <c r="C139" t="s">
        <v>8</v>
      </c>
      <c r="D139">
        <v>22</v>
      </c>
    </row>
    <row r="140" spans="1:4" x14ac:dyDescent="0.35">
      <c r="A140">
        <v>147</v>
      </c>
      <c r="B140" t="s">
        <v>7</v>
      </c>
      <c r="C140" t="s">
        <v>8</v>
      </c>
      <c r="D140">
        <v>11</v>
      </c>
    </row>
    <row r="141" spans="1:4" x14ac:dyDescent="0.35">
      <c r="A141">
        <v>148</v>
      </c>
      <c r="B141" t="s">
        <v>7</v>
      </c>
      <c r="C141" t="s">
        <v>8</v>
      </c>
      <c r="D141">
        <v>7</v>
      </c>
    </row>
    <row r="142" spans="1:4" x14ac:dyDescent="0.35">
      <c r="A142">
        <v>149</v>
      </c>
      <c r="B142" t="s">
        <v>7</v>
      </c>
      <c r="C142" t="s">
        <v>8</v>
      </c>
      <c r="D142">
        <v>21</v>
      </c>
    </row>
    <row r="143" spans="1:4" x14ac:dyDescent="0.35">
      <c r="A143">
        <v>150</v>
      </c>
      <c r="B143" t="s">
        <v>7</v>
      </c>
      <c r="C143" t="s">
        <v>8</v>
      </c>
      <c r="D143">
        <v>16</v>
      </c>
    </row>
    <row r="144" spans="1:4" x14ac:dyDescent="0.35">
      <c r="A144">
        <v>151</v>
      </c>
      <c r="B144" t="s">
        <v>7</v>
      </c>
      <c r="C144" t="s">
        <v>8</v>
      </c>
      <c r="D144">
        <v>15</v>
      </c>
    </row>
    <row r="145" spans="1:4" x14ac:dyDescent="0.35">
      <c r="A145">
        <v>152</v>
      </c>
      <c r="B145" t="s">
        <v>7</v>
      </c>
      <c r="C145" t="s">
        <v>8</v>
      </c>
      <c r="D145">
        <v>25</v>
      </c>
    </row>
    <row r="146" spans="1:4" x14ac:dyDescent="0.35">
      <c r="A146">
        <v>153</v>
      </c>
      <c r="B146" t="s">
        <v>7</v>
      </c>
      <c r="C146" t="s">
        <v>8</v>
      </c>
      <c r="D146">
        <v>10</v>
      </c>
    </row>
    <row r="147" spans="1:4" x14ac:dyDescent="0.35">
      <c r="A147">
        <v>154</v>
      </c>
      <c r="B147" t="s">
        <v>7</v>
      </c>
      <c r="C147" t="s">
        <v>8</v>
      </c>
      <c r="D147">
        <v>18</v>
      </c>
    </row>
    <row r="148" spans="1:4" x14ac:dyDescent="0.35">
      <c r="A148">
        <v>155</v>
      </c>
      <c r="B148" t="s">
        <v>7</v>
      </c>
      <c r="C148" t="s">
        <v>8</v>
      </c>
      <c r="D148">
        <v>23</v>
      </c>
    </row>
    <row r="149" spans="1:4" x14ac:dyDescent="0.35">
      <c r="A149">
        <v>156</v>
      </c>
      <c r="B149" t="s">
        <v>7</v>
      </c>
      <c r="C149" t="s">
        <v>8</v>
      </c>
      <c r="D149">
        <v>15</v>
      </c>
    </row>
    <row r="150" spans="1:4" x14ac:dyDescent="0.35">
      <c r="A150">
        <v>157</v>
      </c>
      <c r="B150" t="s">
        <v>7</v>
      </c>
      <c r="C150" t="s">
        <v>8</v>
      </c>
      <c r="D150">
        <v>11</v>
      </c>
    </row>
    <row r="151" spans="1:4" x14ac:dyDescent="0.35">
      <c r="A151">
        <v>158</v>
      </c>
      <c r="B151" t="s">
        <v>7</v>
      </c>
      <c r="C151" t="s">
        <v>8</v>
      </c>
      <c r="D151">
        <v>11</v>
      </c>
    </row>
    <row r="152" spans="1:4" x14ac:dyDescent="0.35">
      <c r="A152">
        <v>159</v>
      </c>
      <c r="B152" t="s">
        <v>7</v>
      </c>
      <c r="C152" t="s">
        <v>8</v>
      </c>
      <c r="D152">
        <v>8</v>
      </c>
    </row>
    <row r="153" spans="1:4" x14ac:dyDescent="0.35">
      <c r="A153">
        <v>160</v>
      </c>
      <c r="B153" t="s">
        <v>7</v>
      </c>
      <c r="C153" t="s">
        <v>8</v>
      </c>
      <c r="D153">
        <v>10</v>
      </c>
    </row>
    <row r="154" spans="1:4" x14ac:dyDescent="0.35">
      <c r="A154">
        <v>161</v>
      </c>
      <c r="B154" t="s">
        <v>7</v>
      </c>
      <c r="C154" t="s">
        <v>8</v>
      </c>
      <c r="D154">
        <v>9</v>
      </c>
    </row>
    <row r="155" spans="1:4" x14ac:dyDescent="0.35">
      <c r="A155">
        <v>162</v>
      </c>
      <c r="B155" t="s">
        <v>7</v>
      </c>
      <c r="C155" t="s">
        <v>8</v>
      </c>
      <c r="D155">
        <v>13</v>
      </c>
    </row>
    <row r="156" spans="1:4" x14ac:dyDescent="0.35">
      <c r="A156">
        <v>163</v>
      </c>
      <c r="B156" t="s">
        <v>7</v>
      </c>
      <c r="C156" t="s">
        <v>8</v>
      </c>
      <c r="D156">
        <v>5</v>
      </c>
    </row>
    <row r="157" spans="1:4" x14ac:dyDescent="0.35">
      <c r="A157">
        <v>164</v>
      </c>
      <c r="B157" t="s">
        <v>7</v>
      </c>
      <c r="C157" t="s">
        <v>8</v>
      </c>
      <c r="D157">
        <v>7</v>
      </c>
    </row>
    <row r="158" spans="1:4" x14ac:dyDescent="0.35">
      <c r="A158">
        <v>165</v>
      </c>
      <c r="B158" t="s">
        <v>7</v>
      </c>
      <c r="C158" t="s">
        <v>8</v>
      </c>
      <c r="D158">
        <v>5</v>
      </c>
    </row>
    <row r="159" spans="1:4" x14ac:dyDescent="0.35">
      <c r="A159">
        <v>166</v>
      </c>
      <c r="B159" t="s">
        <v>7</v>
      </c>
      <c r="C159" t="s">
        <v>9</v>
      </c>
      <c r="D159">
        <v>57</v>
      </c>
    </row>
    <row r="160" spans="1:4" x14ac:dyDescent="0.35">
      <c r="A160">
        <v>167</v>
      </c>
      <c r="B160" t="s">
        <v>7</v>
      </c>
      <c r="C160" t="s">
        <v>9</v>
      </c>
      <c r="D160">
        <v>11</v>
      </c>
    </row>
    <row r="161" spans="1:4" x14ac:dyDescent="0.35">
      <c r="A161">
        <v>168</v>
      </c>
      <c r="B161" t="s">
        <v>7</v>
      </c>
      <c r="C161" t="s">
        <v>9</v>
      </c>
      <c r="D161">
        <v>17</v>
      </c>
    </row>
    <row r="162" spans="1:4" x14ac:dyDescent="0.35">
      <c r="A162">
        <v>169</v>
      </c>
      <c r="B162" t="s">
        <v>7</v>
      </c>
      <c r="C162" t="s">
        <v>9</v>
      </c>
      <c r="D162">
        <v>8</v>
      </c>
    </row>
    <row r="163" spans="1:4" x14ac:dyDescent="0.35">
      <c r="A163">
        <v>170</v>
      </c>
      <c r="B163" t="s">
        <v>7</v>
      </c>
      <c r="C163" t="s">
        <v>9</v>
      </c>
      <c r="D163">
        <v>13</v>
      </c>
    </row>
    <row r="164" spans="1:4" x14ac:dyDescent="0.35">
      <c r="A164">
        <v>171</v>
      </c>
      <c r="B164" t="s">
        <v>7</v>
      </c>
      <c r="C164" t="s">
        <v>9</v>
      </c>
      <c r="D164">
        <v>39</v>
      </c>
    </row>
    <row r="165" spans="1:4" x14ac:dyDescent="0.35">
      <c r="A165">
        <v>172</v>
      </c>
      <c r="B165" t="s">
        <v>7</v>
      </c>
      <c r="C165" t="s">
        <v>9</v>
      </c>
      <c r="D165">
        <v>16</v>
      </c>
    </row>
    <row r="166" spans="1:4" x14ac:dyDescent="0.35">
      <c r="A166">
        <v>173</v>
      </c>
      <c r="B166" t="s">
        <v>7</v>
      </c>
      <c r="C166" t="s">
        <v>9</v>
      </c>
      <c r="D166">
        <v>21</v>
      </c>
    </row>
    <row r="167" spans="1:4" x14ac:dyDescent="0.35">
      <c r="A167">
        <v>174</v>
      </c>
      <c r="B167" t="s">
        <v>7</v>
      </c>
      <c r="C167" t="s">
        <v>9</v>
      </c>
      <c r="D167">
        <v>16</v>
      </c>
    </row>
    <row r="168" spans="1:4" x14ac:dyDescent="0.35">
      <c r="A168">
        <v>175</v>
      </c>
      <c r="B168" t="s">
        <v>7</v>
      </c>
      <c r="C168" t="s">
        <v>9</v>
      </c>
      <c r="D168">
        <v>10</v>
      </c>
    </row>
    <row r="169" spans="1:4" x14ac:dyDescent="0.35">
      <c r="A169">
        <v>176</v>
      </c>
      <c r="B169" t="s">
        <v>7</v>
      </c>
      <c r="C169" t="s">
        <v>9</v>
      </c>
      <c r="D169">
        <v>8</v>
      </c>
    </row>
    <row r="170" spans="1:4" x14ac:dyDescent="0.35">
      <c r="A170">
        <v>177</v>
      </c>
      <c r="B170" t="s">
        <v>7</v>
      </c>
      <c r="C170" t="s">
        <v>9</v>
      </c>
      <c r="D170">
        <v>7</v>
      </c>
    </row>
    <row r="171" spans="1:4" x14ac:dyDescent="0.35">
      <c r="A171">
        <v>178</v>
      </c>
      <c r="B171" t="s">
        <v>7</v>
      </c>
      <c r="C171" t="s">
        <v>9</v>
      </c>
      <c r="D171">
        <v>14</v>
      </c>
    </row>
    <row r="172" spans="1:4" x14ac:dyDescent="0.35">
      <c r="A172">
        <v>179</v>
      </c>
      <c r="B172" t="s">
        <v>7</v>
      </c>
      <c r="C172" t="s">
        <v>9</v>
      </c>
      <c r="D172">
        <v>17</v>
      </c>
    </row>
    <row r="173" spans="1:4" x14ac:dyDescent="0.35">
      <c r="A173">
        <v>180</v>
      </c>
      <c r="B173" t="s">
        <v>7</v>
      </c>
      <c r="C173" t="s">
        <v>9</v>
      </c>
      <c r="D173">
        <v>22</v>
      </c>
    </row>
    <row r="174" spans="1:4" x14ac:dyDescent="0.35">
      <c r="A174">
        <v>181</v>
      </c>
      <c r="B174" t="s">
        <v>7</v>
      </c>
      <c r="C174" t="s">
        <v>9</v>
      </c>
      <c r="D174">
        <v>7</v>
      </c>
    </row>
    <row r="175" spans="1:4" x14ac:dyDescent="0.35">
      <c r="A175">
        <v>182</v>
      </c>
      <c r="B175" t="s">
        <v>7</v>
      </c>
      <c r="C175" t="s">
        <v>9</v>
      </c>
      <c r="D175">
        <v>17</v>
      </c>
    </row>
    <row r="176" spans="1:4" x14ac:dyDescent="0.35">
      <c r="A176">
        <v>183</v>
      </c>
      <c r="B176" t="s">
        <v>7</v>
      </c>
      <c r="C176" t="s">
        <v>9</v>
      </c>
      <c r="D176">
        <v>21</v>
      </c>
    </row>
    <row r="177" spans="1:4" x14ac:dyDescent="0.35">
      <c r="A177">
        <v>184</v>
      </c>
      <c r="B177" t="s">
        <v>7</v>
      </c>
      <c r="C177" t="s">
        <v>9</v>
      </c>
      <c r="D177">
        <v>7</v>
      </c>
    </row>
    <row r="178" spans="1:4" x14ac:dyDescent="0.35">
      <c r="A178">
        <v>185</v>
      </c>
      <c r="B178" t="s">
        <v>7</v>
      </c>
      <c r="C178" t="s">
        <v>9</v>
      </c>
      <c r="D178">
        <v>34</v>
      </c>
    </row>
    <row r="179" spans="1:4" x14ac:dyDescent="0.35">
      <c r="A179">
        <v>186</v>
      </c>
      <c r="B179" t="s">
        <v>7</v>
      </c>
      <c r="C179" t="s">
        <v>9</v>
      </c>
      <c r="D179">
        <v>11</v>
      </c>
    </row>
    <row r="180" spans="1:4" x14ac:dyDescent="0.35">
      <c r="A180">
        <v>187</v>
      </c>
      <c r="B180" t="s">
        <v>7</v>
      </c>
      <c r="C180" t="s">
        <v>9</v>
      </c>
      <c r="D180">
        <v>13</v>
      </c>
    </row>
    <row r="181" spans="1:4" x14ac:dyDescent="0.35">
      <c r="A181">
        <v>188</v>
      </c>
      <c r="B181" t="s">
        <v>7</v>
      </c>
      <c r="C181" t="s">
        <v>9</v>
      </c>
      <c r="D181">
        <v>28</v>
      </c>
    </row>
    <row r="182" spans="1:4" x14ac:dyDescent="0.35">
      <c r="A182">
        <v>189</v>
      </c>
      <c r="B182" t="s">
        <v>7</v>
      </c>
      <c r="C182" t="s">
        <v>9</v>
      </c>
      <c r="D182">
        <v>12</v>
      </c>
    </row>
    <row r="183" spans="1:4" x14ac:dyDescent="0.35">
      <c r="A183">
        <v>190</v>
      </c>
      <c r="B183" t="s">
        <v>7</v>
      </c>
      <c r="C183" t="s">
        <v>9</v>
      </c>
      <c r="D183">
        <v>6</v>
      </c>
    </row>
    <row r="184" spans="1:4" x14ac:dyDescent="0.35">
      <c r="A184">
        <v>191</v>
      </c>
      <c r="B184" t="s">
        <v>7</v>
      </c>
      <c r="C184" t="s">
        <v>9</v>
      </c>
      <c r="D184">
        <v>7</v>
      </c>
    </row>
    <row r="185" spans="1:4" x14ac:dyDescent="0.35">
      <c r="A185">
        <v>192</v>
      </c>
      <c r="B185" t="s">
        <v>7</v>
      </c>
      <c r="C185" t="s">
        <v>9</v>
      </c>
      <c r="D185">
        <v>6</v>
      </c>
    </row>
    <row r="186" spans="1:4" x14ac:dyDescent="0.35">
      <c r="A186">
        <v>193</v>
      </c>
      <c r="B186" t="s">
        <v>7</v>
      </c>
      <c r="C186">
        <v>15</v>
      </c>
      <c r="D186">
        <v>33</v>
      </c>
    </row>
    <row r="187" spans="1:4" x14ac:dyDescent="0.35">
      <c r="A187">
        <v>194</v>
      </c>
      <c r="B187" t="s">
        <v>7</v>
      </c>
      <c r="C187">
        <v>15</v>
      </c>
      <c r="D187">
        <v>11</v>
      </c>
    </row>
    <row r="188" spans="1:4" x14ac:dyDescent="0.35">
      <c r="A188">
        <v>195</v>
      </c>
      <c r="B188" t="s">
        <v>7</v>
      </c>
      <c r="C188">
        <v>15</v>
      </c>
      <c r="D188">
        <v>8</v>
      </c>
    </row>
    <row r="189" spans="1:4" x14ac:dyDescent="0.35">
      <c r="A189">
        <v>196</v>
      </c>
      <c r="B189" t="s">
        <v>7</v>
      </c>
      <c r="C189">
        <v>15</v>
      </c>
      <c r="D189">
        <v>6</v>
      </c>
    </row>
    <row r="190" spans="1:4" x14ac:dyDescent="0.35">
      <c r="A190">
        <v>197</v>
      </c>
      <c r="B190" t="s">
        <v>7</v>
      </c>
      <c r="C190">
        <v>15</v>
      </c>
      <c r="D190">
        <v>18</v>
      </c>
    </row>
    <row r="191" spans="1:4" x14ac:dyDescent="0.35">
      <c r="A191">
        <v>198</v>
      </c>
      <c r="B191" t="s">
        <v>7</v>
      </c>
      <c r="C191">
        <v>15</v>
      </c>
      <c r="D191">
        <v>9</v>
      </c>
    </row>
    <row r="192" spans="1:4" x14ac:dyDescent="0.35">
      <c r="A192">
        <v>199</v>
      </c>
      <c r="B192" t="s">
        <v>7</v>
      </c>
      <c r="C192">
        <v>15</v>
      </c>
      <c r="D192">
        <v>10</v>
      </c>
    </row>
    <row r="193" spans="1:4" x14ac:dyDescent="0.35">
      <c r="A193">
        <v>200</v>
      </c>
      <c r="B193" t="s">
        <v>7</v>
      </c>
      <c r="C193">
        <v>15</v>
      </c>
      <c r="D193">
        <v>20</v>
      </c>
    </row>
    <row r="194" spans="1:4" x14ac:dyDescent="0.35">
      <c r="A194">
        <v>201</v>
      </c>
      <c r="B194" t="s">
        <v>7</v>
      </c>
      <c r="C194">
        <v>15</v>
      </c>
      <c r="D194">
        <v>5</v>
      </c>
    </row>
    <row r="195" spans="1:4" x14ac:dyDescent="0.35">
      <c r="A195">
        <v>202</v>
      </c>
      <c r="B195" t="s">
        <v>7</v>
      </c>
      <c r="C195">
        <v>15</v>
      </c>
      <c r="D195">
        <v>9</v>
      </c>
    </row>
    <row r="196" spans="1:4" x14ac:dyDescent="0.35">
      <c r="A196">
        <v>203</v>
      </c>
      <c r="B196" t="s">
        <v>7</v>
      </c>
      <c r="C196">
        <v>15</v>
      </c>
      <c r="D196">
        <v>15</v>
      </c>
    </row>
    <row r="197" spans="1:4" x14ac:dyDescent="0.35">
      <c r="A197">
        <v>204</v>
      </c>
      <c r="B197" t="s">
        <v>7</v>
      </c>
      <c r="C197">
        <v>15</v>
      </c>
      <c r="D197">
        <v>5</v>
      </c>
    </row>
    <row r="198" spans="1:4" x14ac:dyDescent="0.35">
      <c r="A198">
        <v>205</v>
      </c>
      <c r="B198" t="s">
        <v>7</v>
      </c>
      <c r="C198">
        <v>15</v>
      </c>
      <c r="D198">
        <v>10</v>
      </c>
    </row>
    <row r="199" spans="1:4" x14ac:dyDescent="0.35">
      <c r="A199">
        <v>206</v>
      </c>
      <c r="B199" t="s">
        <v>7</v>
      </c>
      <c r="C199">
        <v>15</v>
      </c>
      <c r="D199">
        <v>11</v>
      </c>
    </row>
    <row r="200" spans="1:4" x14ac:dyDescent="0.35">
      <c r="A200">
        <v>23</v>
      </c>
      <c r="B200" t="s">
        <v>4</v>
      </c>
      <c r="C200">
        <v>2</v>
      </c>
      <c r="D200">
        <v>17</v>
      </c>
    </row>
    <row r="201" spans="1:4" x14ac:dyDescent="0.35">
      <c r="A201">
        <v>24</v>
      </c>
      <c r="B201" t="s">
        <v>4</v>
      </c>
      <c r="C201">
        <v>2</v>
      </c>
      <c r="D201">
        <v>19</v>
      </c>
    </row>
    <row r="202" spans="1:4" x14ac:dyDescent="0.35">
      <c r="A202">
        <v>25</v>
      </c>
      <c r="B202" t="s">
        <v>4</v>
      </c>
      <c r="C202">
        <v>2</v>
      </c>
      <c r="D202">
        <v>5</v>
      </c>
    </row>
    <row r="203" spans="1:4" x14ac:dyDescent="0.35">
      <c r="A203">
        <v>26</v>
      </c>
      <c r="B203" t="s">
        <v>4</v>
      </c>
      <c r="C203">
        <v>2</v>
      </c>
      <c r="D203">
        <v>16</v>
      </c>
    </row>
    <row r="204" spans="1:4" x14ac:dyDescent="0.35">
      <c r="A204">
        <v>27</v>
      </c>
      <c r="B204" t="s">
        <v>4</v>
      </c>
      <c r="C204">
        <v>2</v>
      </c>
      <c r="D204">
        <v>20</v>
      </c>
    </row>
    <row r="205" spans="1:4" x14ac:dyDescent="0.35">
      <c r="A205">
        <v>28</v>
      </c>
      <c r="B205" t="s">
        <v>4</v>
      </c>
      <c r="C205">
        <v>2</v>
      </c>
      <c r="D205">
        <v>6</v>
      </c>
    </row>
    <row r="206" spans="1:4" x14ac:dyDescent="0.35">
      <c r="A206">
        <v>29</v>
      </c>
      <c r="B206" t="s">
        <v>4</v>
      </c>
      <c r="C206">
        <v>2</v>
      </c>
      <c r="D206">
        <v>8</v>
      </c>
    </row>
    <row r="207" spans="1:4" x14ac:dyDescent="0.35">
      <c r="A207">
        <v>30</v>
      </c>
      <c r="B207" t="s">
        <v>4</v>
      </c>
      <c r="C207">
        <v>2</v>
      </c>
      <c r="D207">
        <v>4</v>
      </c>
    </row>
    <row r="208" spans="1:4" x14ac:dyDescent="0.35">
      <c r="A208">
        <v>31</v>
      </c>
      <c r="B208" t="s">
        <v>4</v>
      </c>
      <c r="C208">
        <v>2</v>
      </c>
      <c r="D208">
        <v>10</v>
      </c>
    </row>
    <row r="209" spans="1:4" x14ac:dyDescent="0.35">
      <c r="A209">
        <v>32</v>
      </c>
      <c r="B209" t="s">
        <v>4</v>
      </c>
      <c r="C209">
        <v>2</v>
      </c>
      <c r="D209">
        <v>16</v>
      </c>
    </row>
    <row r="210" spans="1:4" x14ac:dyDescent="0.35">
      <c r="A210">
        <v>33</v>
      </c>
      <c r="B210" t="s">
        <v>4</v>
      </c>
      <c r="C210">
        <v>2</v>
      </c>
      <c r="D210">
        <v>14</v>
      </c>
    </row>
    <row r="211" spans="1:4" x14ac:dyDescent="0.35">
      <c r="A211">
        <v>34</v>
      </c>
      <c r="B211" t="s">
        <v>4</v>
      </c>
      <c r="C211">
        <v>2</v>
      </c>
      <c r="D211">
        <v>4</v>
      </c>
    </row>
    <row r="212" spans="1:4" x14ac:dyDescent="0.35">
      <c r="A212">
        <v>35</v>
      </c>
      <c r="B212" t="s">
        <v>4</v>
      </c>
      <c r="C212">
        <v>2</v>
      </c>
      <c r="D212">
        <v>13</v>
      </c>
    </row>
    <row r="213" spans="1:4" x14ac:dyDescent="0.35">
      <c r="A213">
        <v>36</v>
      </c>
      <c r="B213" t="s">
        <v>4</v>
      </c>
      <c r="C213">
        <v>2</v>
      </c>
      <c r="D213">
        <v>3</v>
      </c>
    </row>
    <row r="214" spans="1:4" x14ac:dyDescent="0.35">
      <c r="A214">
        <v>37</v>
      </c>
      <c r="B214" t="s">
        <v>4</v>
      </c>
      <c r="C214">
        <v>2</v>
      </c>
      <c r="D214">
        <v>18</v>
      </c>
    </row>
    <row r="215" spans="1:4" x14ac:dyDescent="0.35">
      <c r="A215">
        <v>38</v>
      </c>
      <c r="B215" t="s">
        <v>4</v>
      </c>
      <c r="C215">
        <v>2</v>
      </c>
      <c r="D215">
        <v>17</v>
      </c>
    </row>
    <row r="216" spans="1:4" x14ac:dyDescent="0.35">
      <c r="A216">
        <v>39</v>
      </c>
      <c r="B216" t="s">
        <v>4</v>
      </c>
      <c r="C216">
        <v>2</v>
      </c>
      <c r="D216">
        <v>18</v>
      </c>
    </row>
    <row r="217" spans="1:4" x14ac:dyDescent="0.35">
      <c r="A217">
        <v>40</v>
      </c>
      <c r="B217" t="s">
        <v>4</v>
      </c>
      <c r="C217">
        <v>2</v>
      </c>
      <c r="D217">
        <v>11</v>
      </c>
    </row>
    <row r="218" spans="1:4" x14ac:dyDescent="0.35">
      <c r="A218">
        <v>41</v>
      </c>
      <c r="B218" t="s">
        <v>4</v>
      </c>
      <c r="C218">
        <v>2</v>
      </c>
      <c r="D218">
        <v>12</v>
      </c>
    </row>
    <row r="219" spans="1:4" x14ac:dyDescent="0.35">
      <c r="A219">
        <v>60</v>
      </c>
      <c r="B219" t="s">
        <v>4</v>
      </c>
      <c r="C219">
        <v>4</v>
      </c>
      <c r="D219">
        <v>18</v>
      </c>
    </row>
    <row r="220" spans="1:4" x14ac:dyDescent="0.35">
      <c r="A220">
        <v>61</v>
      </c>
      <c r="B220" t="s">
        <v>4</v>
      </c>
      <c r="C220">
        <v>4</v>
      </c>
      <c r="D220">
        <v>19</v>
      </c>
    </row>
    <row r="221" spans="1:4" x14ac:dyDescent="0.35">
      <c r="A221">
        <v>62</v>
      </c>
      <c r="B221" t="s">
        <v>4</v>
      </c>
      <c r="C221">
        <v>4</v>
      </c>
      <c r="D221">
        <v>8</v>
      </c>
    </row>
    <row r="222" spans="1:4" x14ac:dyDescent="0.35">
      <c r="A222">
        <v>63</v>
      </c>
      <c r="B222" t="s">
        <v>4</v>
      </c>
      <c r="C222">
        <v>4</v>
      </c>
      <c r="D222">
        <v>21</v>
      </c>
    </row>
    <row r="223" spans="1:4" x14ac:dyDescent="0.35">
      <c r="A223">
        <v>64</v>
      </c>
      <c r="B223" t="s">
        <v>4</v>
      </c>
      <c r="C223">
        <v>4</v>
      </c>
      <c r="D223">
        <v>13</v>
      </c>
    </row>
    <row r="224" spans="1:4" x14ac:dyDescent="0.35">
      <c r="A224">
        <v>65</v>
      </c>
      <c r="B224" t="s">
        <v>4</v>
      </c>
      <c r="C224">
        <v>4</v>
      </c>
      <c r="D224">
        <v>14</v>
      </c>
    </row>
    <row r="225" spans="1:4" x14ac:dyDescent="0.35">
      <c r="A225">
        <v>66</v>
      </c>
      <c r="B225" t="s">
        <v>4</v>
      </c>
      <c r="C225">
        <v>4</v>
      </c>
      <c r="D225">
        <v>18</v>
      </c>
    </row>
    <row r="226" spans="1:4" x14ac:dyDescent="0.35">
      <c r="A226">
        <v>67</v>
      </c>
      <c r="B226" t="s">
        <v>4</v>
      </c>
      <c r="C226">
        <v>4</v>
      </c>
      <c r="D226">
        <v>7</v>
      </c>
    </row>
    <row r="227" spans="1:4" x14ac:dyDescent="0.35">
      <c r="A227">
        <v>68</v>
      </c>
      <c r="B227" t="s">
        <v>4</v>
      </c>
      <c r="C227">
        <v>4</v>
      </c>
      <c r="D227">
        <v>17</v>
      </c>
    </row>
    <row r="228" spans="1:4" x14ac:dyDescent="0.35">
      <c r="A228">
        <v>69</v>
      </c>
      <c r="B228" t="s">
        <v>4</v>
      </c>
      <c r="C228">
        <v>4</v>
      </c>
      <c r="D228">
        <v>6</v>
      </c>
    </row>
    <row r="229" spans="1:4" x14ac:dyDescent="0.35">
      <c r="A229">
        <v>70</v>
      </c>
      <c r="B229" t="s">
        <v>4</v>
      </c>
      <c r="C229">
        <v>4</v>
      </c>
      <c r="D229">
        <v>10</v>
      </c>
    </row>
    <row r="230" spans="1:4" x14ac:dyDescent="0.35">
      <c r="A230">
        <v>71</v>
      </c>
      <c r="B230" t="s">
        <v>4</v>
      </c>
      <c r="C230">
        <v>4</v>
      </c>
      <c r="D230">
        <v>6</v>
      </c>
    </row>
    <row r="231" spans="1:4" x14ac:dyDescent="0.35">
      <c r="A231">
        <v>72</v>
      </c>
      <c r="B231" t="s">
        <v>4</v>
      </c>
      <c r="C231">
        <v>4</v>
      </c>
      <c r="D231">
        <v>8</v>
      </c>
    </row>
    <row r="232" spans="1:4" x14ac:dyDescent="0.35">
      <c r="A232">
        <v>73</v>
      </c>
      <c r="B232" t="s">
        <v>4</v>
      </c>
      <c r="C232">
        <v>4</v>
      </c>
      <c r="D232">
        <v>12</v>
      </c>
    </row>
    <row r="233" spans="1:4" x14ac:dyDescent="0.35">
      <c r="A233">
        <v>74</v>
      </c>
      <c r="B233" t="s">
        <v>4</v>
      </c>
      <c r="C233">
        <v>4</v>
      </c>
      <c r="D233">
        <v>9</v>
      </c>
    </row>
    <row r="234" spans="1:4" x14ac:dyDescent="0.35">
      <c r="A234">
        <v>95</v>
      </c>
      <c r="B234" t="s">
        <v>4</v>
      </c>
      <c r="C234" t="s">
        <v>6</v>
      </c>
      <c r="D234">
        <v>3</v>
      </c>
    </row>
    <row r="235" spans="1:4" x14ac:dyDescent="0.35">
      <c r="A235">
        <v>96</v>
      </c>
      <c r="B235" t="s">
        <v>4</v>
      </c>
      <c r="C235" t="s">
        <v>6</v>
      </c>
      <c r="D235">
        <v>10</v>
      </c>
    </row>
    <row r="236" spans="1:4" x14ac:dyDescent="0.35">
      <c r="A236">
        <v>97</v>
      </c>
      <c r="B236" t="s">
        <v>4</v>
      </c>
      <c r="C236" t="s">
        <v>6</v>
      </c>
      <c r="D236">
        <v>9</v>
      </c>
    </row>
    <row r="237" spans="1:4" x14ac:dyDescent="0.35">
      <c r="A237">
        <v>98</v>
      </c>
      <c r="B237" t="s">
        <v>4</v>
      </c>
      <c r="C237" t="s">
        <v>6</v>
      </c>
      <c r="D237">
        <v>33</v>
      </c>
    </row>
    <row r="238" spans="1:4" x14ac:dyDescent="0.35">
      <c r="A238">
        <v>99</v>
      </c>
      <c r="B238" t="s">
        <v>4</v>
      </c>
      <c r="C238" t="s">
        <v>6</v>
      </c>
      <c r="D238">
        <v>22</v>
      </c>
    </row>
    <row r="239" spans="1:4" x14ac:dyDescent="0.35">
      <c r="A239">
        <v>100</v>
      </c>
      <c r="B239" t="s">
        <v>4</v>
      </c>
      <c r="C239" t="s">
        <v>6</v>
      </c>
      <c r="D239">
        <v>11</v>
      </c>
    </row>
    <row r="240" spans="1:4" x14ac:dyDescent="0.35">
      <c r="A240">
        <v>101</v>
      </c>
      <c r="B240" t="s">
        <v>4</v>
      </c>
      <c r="C240" t="s">
        <v>6</v>
      </c>
      <c r="D240">
        <v>24</v>
      </c>
    </row>
    <row r="241" spans="1:4" x14ac:dyDescent="0.35">
      <c r="A241">
        <v>102</v>
      </c>
      <c r="B241" t="s">
        <v>4</v>
      </c>
      <c r="C241" t="s">
        <v>6</v>
      </c>
      <c r="D241">
        <v>6</v>
      </c>
    </row>
    <row r="242" spans="1:4" x14ac:dyDescent="0.35">
      <c r="A242">
        <v>103</v>
      </c>
      <c r="B242" t="s">
        <v>4</v>
      </c>
      <c r="C242" t="s">
        <v>6</v>
      </c>
      <c r="D242">
        <v>24</v>
      </c>
    </row>
    <row r="243" spans="1:4" x14ac:dyDescent="0.35">
      <c r="A243">
        <v>104</v>
      </c>
      <c r="B243" t="s">
        <v>4</v>
      </c>
      <c r="C243" t="s">
        <v>6</v>
      </c>
      <c r="D243">
        <v>13</v>
      </c>
    </row>
    <row r="244" spans="1:4" x14ac:dyDescent="0.35">
      <c r="A244">
        <v>105</v>
      </c>
      <c r="B244" t="s">
        <v>4</v>
      </c>
      <c r="C244" t="s">
        <v>6</v>
      </c>
      <c r="D244">
        <v>10</v>
      </c>
    </row>
    <row r="245" spans="1:4" x14ac:dyDescent="0.35">
      <c r="A245">
        <v>106</v>
      </c>
      <c r="B245" t="s">
        <v>4</v>
      </c>
      <c r="C245" t="s">
        <v>6</v>
      </c>
      <c r="D245">
        <v>36</v>
      </c>
    </row>
    <row r="246" spans="1:4" x14ac:dyDescent="0.35">
      <c r="A246">
        <v>107</v>
      </c>
      <c r="B246" t="s">
        <v>4</v>
      </c>
      <c r="C246" t="s">
        <v>6</v>
      </c>
      <c r="D246">
        <v>8</v>
      </c>
    </row>
    <row r="247" spans="1:4" x14ac:dyDescent="0.35">
      <c r="A247">
        <v>108</v>
      </c>
      <c r="B247" t="s">
        <v>4</v>
      </c>
      <c r="C247" t="s">
        <v>6</v>
      </c>
      <c r="D247">
        <v>10</v>
      </c>
    </row>
    <row r="248" spans="1:4" x14ac:dyDescent="0.35">
      <c r="A248">
        <v>109</v>
      </c>
      <c r="B248" t="s">
        <v>4</v>
      </c>
      <c r="C248" t="s">
        <v>6</v>
      </c>
      <c r="D248">
        <v>8</v>
      </c>
    </row>
    <row r="249" spans="1:4" x14ac:dyDescent="0.35">
      <c r="A249">
        <v>110</v>
      </c>
      <c r="B249" t="s">
        <v>4</v>
      </c>
      <c r="C249" t="s">
        <v>6</v>
      </c>
      <c r="D249">
        <v>8</v>
      </c>
    </row>
    <row r="250" spans="1:4" x14ac:dyDescent="0.35">
      <c r="A250">
        <v>111</v>
      </c>
      <c r="B250" t="s">
        <v>4</v>
      </c>
      <c r="C250" t="s">
        <v>6</v>
      </c>
      <c r="D250">
        <v>16</v>
      </c>
    </row>
    <row r="251" spans="1:4" x14ac:dyDescent="0.35">
      <c r="A251">
        <v>112</v>
      </c>
      <c r="B251" t="s">
        <v>4</v>
      </c>
      <c r="C251" t="s">
        <v>6</v>
      </c>
      <c r="D251">
        <v>9</v>
      </c>
    </row>
    <row r="252" spans="1:4" x14ac:dyDescent="0.35">
      <c r="A252">
        <v>113</v>
      </c>
      <c r="B252" t="s">
        <v>4</v>
      </c>
      <c r="C252" t="s">
        <v>6</v>
      </c>
      <c r="D252">
        <v>19</v>
      </c>
    </row>
    <row r="253" spans="1:4" x14ac:dyDescent="0.35">
      <c r="A253">
        <v>114</v>
      </c>
      <c r="B253" t="s">
        <v>4</v>
      </c>
      <c r="C253" t="s">
        <v>6</v>
      </c>
      <c r="D253">
        <v>16</v>
      </c>
    </row>
    <row r="254" spans="1:4" x14ac:dyDescent="0.35">
      <c r="A254">
        <v>115</v>
      </c>
      <c r="B254" t="s">
        <v>4</v>
      </c>
      <c r="C254" t="s">
        <v>6</v>
      </c>
      <c r="D254">
        <v>15</v>
      </c>
    </row>
    <row r="255" spans="1:4" x14ac:dyDescent="0.35">
      <c r="A255">
        <v>116</v>
      </c>
      <c r="B255" t="s">
        <v>4</v>
      </c>
      <c r="C255" t="s">
        <v>6</v>
      </c>
      <c r="D255">
        <v>17</v>
      </c>
    </row>
    <row r="256" spans="1:4" x14ac:dyDescent="0.35">
      <c r="A256">
        <v>128</v>
      </c>
      <c r="B256" t="s">
        <v>4</v>
      </c>
      <c r="C256">
        <v>10</v>
      </c>
      <c r="D256">
        <v>16</v>
      </c>
    </row>
    <row r="257" spans="1:4" x14ac:dyDescent="0.35">
      <c r="A257">
        <v>129</v>
      </c>
      <c r="B257" t="s">
        <v>4</v>
      </c>
      <c r="C257">
        <v>10</v>
      </c>
      <c r="D257">
        <v>17</v>
      </c>
    </row>
    <row r="258" spans="1:4" x14ac:dyDescent="0.35">
      <c r="A258">
        <v>130</v>
      </c>
      <c r="B258" t="s">
        <v>4</v>
      </c>
      <c r="C258">
        <v>10</v>
      </c>
      <c r="D258">
        <v>35</v>
      </c>
    </row>
    <row r="259" spans="1:4" x14ac:dyDescent="0.35">
      <c r="A259">
        <v>131</v>
      </c>
      <c r="B259" t="s">
        <v>4</v>
      </c>
      <c r="C259">
        <v>10</v>
      </c>
      <c r="D259">
        <v>16</v>
      </c>
    </row>
    <row r="260" spans="1:4" x14ac:dyDescent="0.35">
      <c r="A260">
        <v>132</v>
      </c>
      <c r="B260" t="s">
        <v>4</v>
      </c>
      <c r="C260">
        <v>10</v>
      </c>
      <c r="D260">
        <v>29</v>
      </c>
    </row>
    <row r="261" spans="1:4" x14ac:dyDescent="0.35">
      <c r="A261">
        <v>133</v>
      </c>
      <c r="B261" t="s">
        <v>4</v>
      </c>
      <c r="C261">
        <v>10</v>
      </c>
      <c r="D261">
        <v>11</v>
      </c>
    </row>
    <row r="262" spans="1:4" x14ac:dyDescent="0.35">
      <c r="A262">
        <v>134</v>
      </c>
      <c r="B262" t="s">
        <v>4</v>
      </c>
      <c r="C262">
        <v>10</v>
      </c>
      <c r="D262">
        <v>24</v>
      </c>
    </row>
    <row r="263" spans="1:4" x14ac:dyDescent="0.35">
      <c r="A263">
        <v>135</v>
      </c>
      <c r="B263" t="s">
        <v>4</v>
      </c>
      <c r="C263">
        <v>10</v>
      </c>
      <c r="D263">
        <v>12</v>
      </c>
    </row>
    <row r="264" spans="1:4" x14ac:dyDescent="0.35">
      <c r="A264">
        <v>136</v>
      </c>
      <c r="B264" t="s">
        <v>4</v>
      </c>
      <c r="C264">
        <v>10</v>
      </c>
      <c r="D264">
        <v>15</v>
      </c>
    </row>
    <row r="265" spans="1:4" x14ac:dyDescent="0.35">
      <c r="A265">
        <v>137</v>
      </c>
      <c r="B265" t="s">
        <v>4</v>
      </c>
      <c r="C265">
        <v>10</v>
      </c>
      <c r="D265">
        <v>26</v>
      </c>
    </row>
    <row r="266" spans="1:4" x14ac:dyDescent="0.35">
      <c r="A266">
        <v>138</v>
      </c>
      <c r="B266" t="s">
        <v>4</v>
      </c>
      <c r="C266">
        <v>10</v>
      </c>
      <c r="D266">
        <v>17</v>
      </c>
    </row>
    <row r="267" spans="1:4" x14ac:dyDescent="0.35">
      <c r="A267">
        <v>139</v>
      </c>
      <c r="B267" t="s">
        <v>4</v>
      </c>
      <c r="C267">
        <v>10</v>
      </c>
      <c r="D267">
        <v>12</v>
      </c>
    </row>
    <row r="268" spans="1:4" x14ac:dyDescent="0.35">
      <c r="A268">
        <v>140</v>
      </c>
      <c r="B268" t="s">
        <v>4</v>
      </c>
      <c r="C268">
        <v>10</v>
      </c>
      <c r="D268">
        <v>11</v>
      </c>
    </row>
    <row r="269" spans="1:4" x14ac:dyDescent="0.35">
      <c r="A269">
        <v>141</v>
      </c>
      <c r="B269" t="s">
        <v>4</v>
      </c>
      <c r="C269">
        <v>10</v>
      </c>
      <c r="D269">
        <v>5</v>
      </c>
    </row>
  </sheetData>
  <sortState xmlns:xlrd2="http://schemas.microsoft.com/office/spreadsheetml/2017/richdata2" ref="A2:D269">
    <sortCondition ref="B2:B269"/>
  </sortState>
  <phoneticPr fontId="1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1E305-FC0C-4F31-A7EF-E2D336D2B9C2}">
  <dimension ref="A1:W81"/>
  <sheetViews>
    <sheetView topLeftCell="J1" zoomScale="70" zoomScaleNormal="70" workbookViewId="0">
      <selection activeCell="R2" sqref="R2:R41"/>
    </sheetView>
  </sheetViews>
  <sheetFormatPr baseColWidth="10" defaultRowHeight="14.5" x14ac:dyDescent="0.35"/>
  <cols>
    <col min="6" max="6" width="19.08984375" bestFit="1" customWidth="1"/>
    <col min="9" max="10" width="13.26953125" bestFit="1" customWidth="1"/>
    <col min="11" max="11" width="15.6328125" bestFit="1" customWidth="1"/>
    <col min="12" max="12" width="11.1796875" style="8" bestFit="1" customWidth="1"/>
    <col min="13" max="13" width="11.26953125" style="8" bestFit="1" customWidth="1"/>
    <col min="14" max="14" width="16.54296875" bestFit="1" customWidth="1"/>
    <col min="15" max="15" width="11.81640625" bestFit="1" customWidth="1"/>
    <col min="16" max="16" width="10.90625" style="32"/>
    <col min="17" max="17" width="18.54296875" style="8" bestFit="1" customWidth="1"/>
    <col min="18" max="18" width="26.7265625" style="8" bestFit="1" customWidth="1"/>
    <col min="19" max="19" width="14.81640625" style="8" bestFit="1" customWidth="1"/>
    <col min="20" max="20" width="10.90625" style="8"/>
    <col min="22" max="22" width="17.08984375" bestFit="1" customWidth="1"/>
    <col min="23" max="23" width="34.36328125" bestFit="1" customWidth="1"/>
  </cols>
  <sheetData>
    <row r="1" spans="1:23" x14ac:dyDescent="0.35">
      <c r="A1" s="7" t="s">
        <v>31</v>
      </c>
      <c r="B1" s="7" t="s">
        <v>18</v>
      </c>
      <c r="C1" s="7" t="s">
        <v>109</v>
      </c>
      <c r="D1" s="7" t="s">
        <v>53</v>
      </c>
      <c r="E1" s="7" t="s">
        <v>61</v>
      </c>
      <c r="F1" s="7" t="s">
        <v>56</v>
      </c>
      <c r="G1" s="7" t="s">
        <v>54</v>
      </c>
      <c r="H1" s="7" t="s">
        <v>55</v>
      </c>
      <c r="I1" s="7" t="s">
        <v>57</v>
      </c>
      <c r="J1" s="7" t="s">
        <v>58</v>
      </c>
      <c r="K1" s="7" t="s">
        <v>62</v>
      </c>
      <c r="L1" s="7" t="s">
        <v>110</v>
      </c>
      <c r="M1" s="7" t="s">
        <v>111</v>
      </c>
      <c r="N1" s="7" t="s">
        <v>91</v>
      </c>
      <c r="O1" s="7" t="s">
        <v>112</v>
      </c>
      <c r="P1" s="31" t="s">
        <v>111</v>
      </c>
      <c r="Q1" s="7" t="s">
        <v>92</v>
      </c>
      <c r="R1" s="7" t="s">
        <v>113</v>
      </c>
      <c r="S1" s="7" t="s">
        <v>77</v>
      </c>
      <c r="T1" s="7" t="s">
        <v>78</v>
      </c>
    </row>
    <row r="2" spans="1:23" x14ac:dyDescent="0.35">
      <c r="A2" t="s">
        <v>32</v>
      </c>
      <c r="B2" t="s">
        <v>10</v>
      </c>
      <c r="C2">
        <v>1</v>
      </c>
      <c r="D2" t="s">
        <v>59</v>
      </c>
      <c r="E2">
        <v>108.5</v>
      </c>
      <c r="F2">
        <v>1</v>
      </c>
      <c r="G2">
        <v>0.16300000000000001</v>
      </c>
      <c r="H2">
        <v>9.8000000000000004E-2</v>
      </c>
      <c r="I2" s="24">
        <f t="shared" ref="I2:I41" si="0">G2/0.6</f>
        <v>0.27166666666666667</v>
      </c>
      <c r="J2" s="24">
        <f t="shared" ref="J2:J41" si="1">H2/0.6</f>
        <v>0.16333333333333336</v>
      </c>
      <c r="K2" s="5">
        <f>(11.43*I2) + (-0.64*J2)</f>
        <v>3.0006166666666667</v>
      </c>
      <c r="L2" s="37">
        <f>AVERAGE(K2:K3)</f>
        <v>5.5617833333333326</v>
      </c>
      <c r="M2" s="42">
        <f>(_xlfn.STDEV.S(K2:K3)/SQRT(2))/L2</f>
        <v>0.46049378646537242</v>
      </c>
      <c r="N2" s="5">
        <f>(27.09*J2) + (-3.63*I2)</f>
        <v>3.4385500000000007</v>
      </c>
      <c r="O2" s="37">
        <f>AVERAGE(N2:N3)</f>
        <v>5.470675</v>
      </c>
      <c r="P2" s="42">
        <f>(_xlfn.STDEV.S(N2:N3)/SQRT(2))/O2</f>
        <v>0.37145781827653807</v>
      </c>
      <c r="Q2" s="41">
        <f>L2+O2</f>
        <v>11.032458333333333</v>
      </c>
      <c r="R2" s="37">
        <f>Q2*(F2/E2)*1000</f>
        <v>101.68164362519201</v>
      </c>
      <c r="S2" s="37">
        <f>AVERAGE(R2:R11)</f>
        <v>110.55847237195535</v>
      </c>
      <c r="T2" s="39">
        <f>(_xlfn.STDEV.S(R2:R11)/SQRT(5))/S2</f>
        <v>0.11826474808787323</v>
      </c>
    </row>
    <row r="3" spans="1:23" x14ac:dyDescent="0.35">
      <c r="A3" t="s">
        <v>32</v>
      </c>
      <c r="B3" t="s">
        <v>10</v>
      </c>
      <c r="C3">
        <v>1</v>
      </c>
      <c r="D3" t="s">
        <v>60</v>
      </c>
      <c r="E3">
        <v>102.5</v>
      </c>
      <c r="F3">
        <v>1</v>
      </c>
      <c r="G3">
        <v>0.439</v>
      </c>
      <c r="H3">
        <v>0.22500000000000001</v>
      </c>
      <c r="I3" s="24">
        <f t="shared" si="0"/>
        <v>0.73166666666666669</v>
      </c>
      <c r="J3" s="24">
        <f t="shared" si="1"/>
        <v>0.375</v>
      </c>
      <c r="K3" s="5">
        <f t="shared" ref="K3:K41" si="2">(11.43*I3) + (-0.64*J3)</f>
        <v>8.1229499999999994</v>
      </c>
      <c r="L3" s="38"/>
      <c r="M3" s="42"/>
      <c r="N3" s="5">
        <f t="shared" ref="N3:N41" si="3">(27.09*J3) + (-3.63*I3)</f>
        <v>7.5027999999999997</v>
      </c>
      <c r="O3" s="38"/>
      <c r="P3" s="42"/>
      <c r="Q3" s="41"/>
      <c r="R3" s="37"/>
      <c r="S3" s="38"/>
      <c r="T3" s="39"/>
      <c r="V3" s="1" t="s">
        <v>13</v>
      </c>
      <c r="W3" t="s">
        <v>114</v>
      </c>
    </row>
    <row r="4" spans="1:23" x14ac:dyDescent="0.35">
      <c r="A4" t="s">
        <v>33</v>
      </c>
      <c r="B4" t="s">
        <v>10</v>
      </c>
      <c r="C4">
        <v>1</v>
      </c>
      <c r="D4" t="s">
        <v>59</v>
      </c>
      <c r="E4">
        <v>102.5</v>
      </c>
      <c r="F4">
        <v>1</v>
      </c>
      <c r="G4">
        <v>0.20899999999999999</v>
      </c>
      <c r="H4">
        <v>0.152</v>
      </c>
      <c r="I4" s="24">
        <f t="shared" si="0"/>
        <v>0.34833333333333333</v>
      </c>
      <c r="J4" s="24">
        <f t="shared" si="1"/>
        <v>0.25333333333333335</v>
      </c>
      <c r="K4" s="5">
        <f t="shared" si="2"/>
        <v>3.8193166666666665</v>
      </c>
      <c r="L4" s="37">
        <f t="shared" ref="L4" si="4">AVERAGE(K4:K5)</f>
        <v>2.76905</v>
      </c>
      <c r="M4" s="42">
        <f t="shared" ref="M4" si="5">(_xlfn.STDEV.S(K4:K5)/SQRT(2))/L4</f>
        <v>0.37928772202259475</v>
      </c>
      <c r="N4" s="5">
        <f t="shared" si="3"/>
        <v>5.5983500000000008</v>
      </c>
      <c r="O4" s="37">
        <f t="shared" ref="O4" si="6">AVERAGE(N4:N5)</f>
        <v>5.2373250000000002</v>
      </c>
      <c r="P4" s="43">
        <f t="shared" ref="P4" si="7">(_xlfn.STDEV.S(N4:N5)/SQRT(2))/O4</f>
        <v>6.8933090843130901E-2</v>
      </c>
      <c r="Q4" s="41">
        <f t="shared" ref="Q4" si="8">L4+O4</f>
        <v>8.0063750000000002</v>
      </c>
      <c r="R4" s="37">
        <f t="shared" ref="R4" si="9">Q4*(F4/E4)*1000</f>
        <v>78.11097560975611</v>
      </c>
      <c r="S4" s="38"/>
      <c r="T4" s="39"/>
      <c r="V4" s="2" t="s">
        <v>10</v>
      </c>
      <c r="W4">
        <v>110.55847237195535</v>
      </c>
    </row>
    <row r="5" spans="1:23" x14ac:dyDescent="0.35">
      <c r="A5" t="s">
        <v>33</v>
      </c>
      <c r="B5" t="s">
        <v>10</v>
      </c>
      <c r="C5">
        <v>1</v>
      </c>
      <c r="D5" t="s">
        <v>60</v>
      </c>
      <c r="E5">
        <v>109.9</v>
      </c>
      <c r="F5">
        <v>1</v>
      </c>
      <c r="G5">
        <v>9.7000000000000003E-2</v>
      </c>
      <c r="H5">
        <v>0.121</v>
      </c>
      <c r="I5" s="24">
        <f t="shared" si="0"/>
        <v>0.16166666666666668</v>
      </c>
      <c r="J5" s="24">
        <f t="shared" si="1"/>
        <v>0.20166666666666666</v>
      </c>
      <c r="K5" s="5">
        <f t="shared" si="2"/>
        <v>1.7187833333333336</v>
      </c>
      <c r="L5" s="38"/>
      <c r="M5" s="42"/>
      <c r="N5" s="5">
        <f t="shared" si="3"/>
        <v>4.8762999999999996</v>
      </c>
      <c r="O5" s="38"/>
      <c r="P5" s="43"/>
      <c r="Q5" s="41"/>
      <c r="R5" s="37"/>
      <c r="S5" s="38"/>
      <c r="T5" s="39"/>
      <c r="V5" s="2" t="s">
        <v>3</v>
      </c>
      <c r="W5">
        <v>86.100895208512014</v>
      </c>
    </row>
    <row r="6" spans="1:23" x14ac:dyDescent="0.35">
      <c r="A6" t="s">
        <v>34</v>
      </c>
      <c r="B6" t="s">
        <v>10</v>
      </c>
      <c r="C6">
        <v>1</v>
      </c>
      <c r="D6" t="s">
        <v>59</v>
      </c>
      <c r="E6">
        <v>98.2</v>
      </c>
      <c r="F6">
        <v>1</v>
      </c>
      <c r="G6">
        <v>0.2</v>
      </c>
      <c r="H6">
        <v>0.13</v>
      </c>
      <c r="I6" s="24">
        <f t="shared" si="0"/>
        <v>0.33333333333333337</v>
      </c>
      <c r="J6" s="24">
        <f t="shared" si="1"/>
        <v>0.21666666666666667</v>
      </c>
      <c r="K6" s="5">
        <f t="shared" si="2"/>
        <v>3.671333333333334</v>
      </c>
      <c r="L6" s="37">
        <f t="shared" ref="L6" si="10">AVERAGE(K6:K7)</f>
        <v>5.9622916666666672</v>
      </c>
      <c r="M6" s="42">
        <f t="shared" ref="M6" si="11">(_xlfn.STDEV.S(K6:K7)/SQRT(2))/L6</f>
        <v>0.38424123833816654</v>
      </c>
      <c r="N6" s="5">
        <f t="shared" si="3"/>
        <v>4.6595000000000004</v>
      </c>
      <c r="O6" s="37">
        <f t="shared" ref="O6" si="12">AVERAGE(N6:N7)</f>
        <v>5.7243750000000002</v>
      </c>
      <c r="P6" s="43">
        <f t="shared" ref="P6" si="13">(_xlfn.STDEV.S(N6:N7)/SQRT(2))/O6</f>
        <v>0.18602467518287988</v>
      </c>
      <c r="Q6" s="41">
        <f t="shared" ref="Q6" si="14">L6+O6</f>
        <v>11.686666666666667</v>
      </c>
      <c r="R6" s="37">
        <f t="shared" ref="R6" si="15">Q6*(F6/E6)*1000</f>
        <v>119.00882552613714</v>
      </c>
      <c r="S6" s="38"/>
      <c r="T6" s="39"/>
      <c r="V6" s="2" t="s">
        <v>7</v>
      </c>
      <c r="W6">
        <v>131.11477479267214</v>
      </c>
    </row>
    <row r="7" spans="1:23" x14ac:dyDescent="0.35">
      <c r="A7" t="s">
        <v>34</v>
      </c>
      <c r="B7" t="s">
        <v>10</v>
      </c>
      <c r="C7">
        <v>1</v>
      </c>
      <c r="D7" t="s">
        <v>60</v>
      </c>
      <c r="E7">
        <v>106.4</v>
      </c>
      <c r="F7">
        <v>1</v>
      </c>
      <c r="G7">
        <v>0.44500000000000001</v>
      </c>
      <c r="H7">
        <v>0.21</v>
      </c>
      <c r="I7" s="24">
        <f t="shared" si="0"/>
        <v>0.7416666666666667</v>
      </c>
      <c r="J7" s="24">
        <f t="shared" si="1"/>
        <v>0.35</v>
      </c>
      <c r="K7" s="5">
        <f t="shared" si="2"/>
        <v>8.2532499999999995</v>
      </c>
      <c r="L7" s="38"/>
      <c r="M7" s="42"/>
      <c r="N7" s="5">
        <f t="shared" si="3"/>
        <v>6.7892499999999991</v>
      </c>
      <c r="O7" s="38"/>
      <c r="P7" s="43"/>
      <c r="Q7" s="41"/>
      <c r="R7" s="37"/>
      <c r="S7" s="38"/>
      <c r="T7" s="39"/>
      <c r="V7" s="2" t="s">
        <v>4</v>
      </c>
      <c r="W7">
        <v>100.36089099290965</v>
      </c>
    </row>
    <row r="8" spans="1:23" x14ac:dyDescent="0.35">
      <c r="A8" t="s">
        <v>35</v>
      </c>
      <c r="B8" t="s">
        <v>10</v>
      </c>
      <c r="C8">
        <v>1</v>
      </c>
      <c r="D8" t="s">
        <v>59</v>
      </c>
      <c r="E8">
        <v>86.9</v>
      </c>
      <c r="F8">
        <v>0.9</v>
      </c>
      <c r="G8">
        <v>0.27200000000000002</v>
      </c>
      <c r="H8">
        <v>0.159</v>
      </c>
      <c r="I8" s="24">
        <f t="shared" si="0"/>
        <v>0.45333333333333337</v>
      </c>
      <c r="J8" s="24">
        <f t="shared" si="1"/>
        <v>0.26500000000000001</v>
      </c>
      <c r="K8" s="5">
        <f t="shared" si="2"/>
        <v>5.0120000000000005</v>
      </c>
      <c r="L8" s="37">
        <f t="shared" ref="L8" si="16">AVERAGE(K8:K9)</f>
        <v>4.6798416666666665</v>
      </c>
      <c r="M8" s="39">
        <f t="shared" ref="M8" si="17">(_xlfn.STDEV.S(K8:K9)/SQRT(2))/L8</f>
        <v>7.097640411623618E-2</v>
      </c>
      <c r="N8" s="5">
        <f t="shared" si="3"/>
        <v>5.5332500000000007</v>
      </c>
      <c r="O8" s="37">
        <f t="shared" ref="O8" si="18">AVERAGE(N8:N9)</f>
        <v>4.7873250000000001</v>
      </c>
      <c r="P8" s="43">
        <f t="shared" ref="P8" si="19">(_xlfn.STDEV.S(N8:N9)/SQRT(2))/O8</f>
        <v>0.15581248400724867</v>
      </c>
      <c r="Q8" s="41">
        <f t="shared" ref="Q8" si="20">L8+O8</f>
        <v>9.4671666666666674</v>
      </c>
      <c r="R8" s="37">
        <f t="shared" ref="R8" si="21">Q8*(F8/E8)*1000</f>
        <v>98.048906789413124</v>
      </c>
      <c r="S8" s="38"/>
      <c r="T8" s="39"/>
      <c r="V8" s="2" t="s">
        <v>14</v>
      </c>
      <c r="W8">
        <v>107.0337583415123</v>
      </c>
    </row>
    <row r="9" spans="1:23" x14ac:dyDescent="0.35">
      <c r="A9" t="s">
        <v>35</v>
      </c>
      <c r="B9" t="s">
        <v>10</v>
      </c>
      <c r="C9">
        <v>1</v>
      </c>
      <c r="D9" t="s">
        <v>60</v>
      </c>
      <c r="E9">
        <v>93</v>
      </c>
      <c r="F9">
        <v>1</v>
      </c>
      <c r="G9">
        <v>0.23499999999999999</v>
      </c>
      <c r="H9">
        <v>0.121</v>
      </c>
      <c r="I9" s="24">
        <f t="shared" si="0"/>
        <v>0.39166666666666666</v>
      </c>
      <c r="J9" s="24">
        <f t="shared" si="1"/>
        <v>0.20166666666666666</v>
      </c>
      <c r="K9" s="5">
        <f t="shared" si="2"/>
        <v>4.3476833333333333</v>
      </c>
      <c r="L9" s="38"/>
      <c r="M9" s="39"/>
      <c r="N9" s="5">
        <f t="shared" si="3"/>
        <v>4.0413999999999994</v>
      </c>
      <c r="O9" s="38"/>
      <c r="P9" s="43"/>
      <c r="Q9" s="41"/>
      <c r="R9" s="37"/>
      <c r="S9" s="38"/>
      <c r="T9" s="39"/>
    </row>
    <row r="10" spans="1:23" x14ac:dyDescent="0.35">
      <c r="A10" t="s">
        <v>36</v>
      </c>
      <c r="B10" t="s">
        <v>10</v>
      </c>
      <c r="C10">
        <v>1</v>
      </c>
      <c r="D10" t="s">
        <v>59</v>
      </c>
      <c r="E10">
        <v>97</v>
      </c>
      <c r="F10">
        <v>1</v>
      </c>
      <c r="G10">
        <v>0.48399999999999999</v>
      </c>
      <c r="H10">
        <v>0.25</v>
      </c>
      <c r="I10" s="24">
        <f t="shared" si="0"/>
        <v>0.80666666666666664</v>
      </c>
      <c r="J10" s="24">
        <f t="shared" si="1"/>
        <v>0.41666666666666669</v>
      </c>
      <c r="K10" s="5">
        <f t="shared" si="2"/>
        <v>8.9535333333333327</v>
      </c>
      <c r="L10" s="37">
        <f t="shared" ref="L10" si="22">AVERAGE(K10:K11)</f>
        <v>7.292675</v>
      </c>
      <c r="M10" s="42">
        <f t="shared" ref="M10" si="23">(_xlfn.STDEV.S(K10:K11)/SQRT(2))/L10</f>
        <v>0.22774336348916344</v>
      </c>
      <c r="N10" s="5">
        <f t="shared" si="3"/>
        <v>8.3592999999999993</v>
      </c>
      <c r="O10" s="37">
        <f t="shared" ref="O10" si="24">AVERAGE(N10:N11)</f>
        <v>7.8337000000000003</v>
      </c>
      <c r="P10" s="43">
        <f t="shared" ref="P10" si="25">(_xlfn.STDEV.S(N10:N11)/SQRT(2))/O10</f>
        <v>6.7094731735961158E-2</v>
      </c>
      <c r="Q10" s="41">
        <f t="shared" ref="Q10" si="26">L10+O10</f>
        <v>15.126374999999999</v>
      </c>
      <c r="R10" s="37">
        <f t="shared" ref="R10" si="27">Q10*(F10/E10)*1000</f>
        <v>155.94201030927834</v>
      </c>
      <c r="S10" s="38"/>
      <c r="T10" s="39"/>
    </row>
    <row r="11" spans="1:23" x14ac:dyDescent="0.35">
      <c r="A11" t="s">
        <v>36</v>
      </c>
      <c r="B11" t="s">
        <v>10</v>
      </c>
      <c r="C11">
        <v>1</v>
      </c>
      <c r="D11" t="s">
        <v>60</v>
      </c>
      <c r="E11">
        <v>99.7</v>
      </c>
      <c r="F11">
        <v>1</v>
      </c>
      <c r="G11">
        <v>0.307</v>
      </c>
      <c r="H11">
        <v>0.20300000000000001</v>
      </c>
      <c r="I11" s="24">
        <f t="shared" si="0"/>
        <v>0.51166666666666671</v>
      </c>
      <c r="J11" s="24">
        <f t="shared" si="1"/>
        <v>0.33833333333333337</v>
      </c>
      <c r="K11" s="5">
        <f t="shared" si="2"/>
        <v>5.6318166666666674</v>
      </c>
      <c r="L11" s="38"/>
      <c r="M11" s="42"/>
      <c r="N11" s="5">
        <f t="shared" si="3"/>
        <v>7.3081000000000014</v>
      </c>
      <c r="O11" s="38"/>
      <c r="P11" s="43"/>
      <c r="Q11" s="41"/>
      <c r="R11" s="37"/>
      <c r="S11" s="38"/>
      <c r="T11" s="39"/>
    </row>
    <row r="12" spans="1:23" x14ac:dyDescent="0.35">
      <c r="A12" t="s">
        <v>37</v>
      </c>
      <c r="B12" t="s">
        <v>7</v>
      </c>
      <c r="C12">
        <v>1</v>
      </c>
      <c r="D12" t="s">
        <v>59</v>
      </c>
      <c r="E12">
        <v>106.7</v>
      </c>
      <c r="F12">
        <v>1</v>
      </c>
      <c r="G12">
        <v>0.14000000000000001</v>
      </c>
      <c r="H12">
        <v>0.20499999999999999</v>
      </c>
      <c r="I12" s="24">
        <f t="shared" si="0"/>
        <v>0.23333333333333336</v>
      </c>
      <c r="J12" s="24">
        <f t="shared" si="1"/>
        <v>0.34166666666666667</v>
      </c>
      <c r="K12" s="5">
        <f t="shared" si="2"/>
        <v>2.4483333333333337</v>
      </c>
      <c r="L12" s="37">
        <f t="shared" ref="L12" si="28">AVERAGE(K12:K13)</f>
        <v>3.2528500000000005</v>
      </c>
      <c r="M12" s="42">
        <f t="shared" ref="M12" si="29">(_xlfn.STDEV.S(K12:K13)/SQRT(2))/L12</f>
        <v>0.24732670324997019</v>
      </c>
      <c r="N12" s="5">
        <f t="shared" si="3"/>
        <v>8.4087500000000013</v>
      </c>
      <c r="O12" s="37">
        <f t="shared" ref="O12" si="30">AVERAGE(N12:N13)</f>
        <v>7.1674000000000007</v>
      </c>
      <c r="P12" s="43">
        <f t="shared" ref="P12" si="31">(_xlfn.STDEV.S(N12:N13)/SQRT(2))/O12</f>
        <v>0.17319390573987833</v>
      </c>
      <c r="Q12" s="41">
        <f t="shared" ref="Q12" si="32">L12+O12</f>
        <v>10.420250000000001</v>
      </c>
      <c r="R12" s="37">
        <f t="shared" ref="R12" si="33">Q12*(F12/E12)*1000</f>
        <v>97.6593252108716</v>
      </c>
      <c r="S12" s="37">
        <f>AVERAGE(R12:R15,R18:R21)</f>
        <v>111.65900652423534</v>
      </c>
      <c r="T12" s="39">
        <f>(_xlfn.STDEV.S(R12:R15,R18:R21)/SQRT(4))/S12</f>
        <v>7.8914020481816338E-2</v>
      </c>
    </row>
    <row r="13" spans="1:23" x14ac:dyDescent="0.35">
      <c r="A13" t="s">
        <v>37</v>
      </c>
      <c r="B13" t="s">
        <v>7</v>
      </c>
      <c r="C13">
        <v>1</v>
      </c>
      <c r="D13" t="s">
        <v>60</v>
      </c>
      <c r="E13">
        <v>102</v>
      </c>
      <c r="F13">
        <v>1</v>
      </c>
      <c r="G13">
        <v>0.222</v>
      </c>
      <c r="H13">
        <v>0.161</v>
      </c>
      <c r="I13" s="24">
        <f t="shared" si="0"/>
        <v>0.37</v>
      </c>
      <c r="J13" s="24">
        <f t="shared" si="1"/>
        <v>0.26833333333333337</v>
      </c>
      <c r="K13" s="5">
        <f t="shared" si="2"/>
        <v>4.0573666666666668</v>
      </c>
      <c r="L13" s="38"/>
      <c r="M13" s="42"/>
      <c r="N13" s="5">
        <f t="shared" si="3"/>
        <v>5.9260500000000009</v>
      </c>
      <c r="O13" s="38"/>
      <c r="P13" s="43"/>
      <c r="Q13" s="41"/>
      <c r="R13" s="37"/>
      <c r="S13" s="38"/>
      <c r="T13" s="39"/>
    </row>
    <row r="14" spans="1:23" x14ac:dyDescent="0.35">
      <c r="A14" t="s">
        <v>38</v>
      </c>
      <c r="B14" t="s">
        <v>7</v>
      </c>
      <c r="C14">
        <v>1</v>
      </c>
      <c r="D14" t="s">
        <v>59</v>
      </c>
      <c r="E14">
        <v>106.7</v>
      </c>
      <c r="F14">
        <v>1</v>
      </c>
      <c r="G14">
        <v>0.23699999999999999</v>
      </c>
      <c r="H14">
        <v>0.20499999999999999</v>
      </c>
      <c r="I14" s="24">
        <f t="shared" si="0"/>
        <v>0.39500000000000002</v>
      </c>
      <c r="J14" s="24">
        <f t="shared" si="1"/>
        <v>0.34166666666666667</v>
      </c>
      <c r="K14" s="5">
        <f t="shared" si="2"/>
        <v>4.2961833333333335</v>
      </c>
      <c r="L14" s="37">
        <f t="shared" ref="L14" si="34">AVERAGE(K14:K15)</f>
        <v>3.7021250000000001</v>
      </c>
      <c r="M14" s="39">
        <f t="shared" ref="M14" si="35">(_xlfn.STDEV.S(K14:K15)/SQRT(2))/L14</f>
        <v>0.16046414784301818</v>
      </c>
      <c r="N14" s="5">
        <f t="shared" si="3"/>
        <v>7.8219000000000012</v>
      </c>
      <c r="O14" s="37">
        <f t="shared" ref="O14" si="36">AVERAGE(N14:N15)</f>
        <v>6.9575000000000014</v>
      </c>
      <c r="P14" s="43">
        <f t="shared" ref="P14" si="37">(_xlfn.STDEV.S(N14:N15)/SQRT(2))/O14</f>
        <v>0.12424002874595741</v>
      </c>
      <c r="Q14" s="41">
        <f t="shared" ref="Q14" si="38">L14+O14</f>
        <v>10.659625000000002</v>
      </c>
      <c r="R14" s="37">
        <f t="shared" ref="R14" si="39">Q14*(F14/E14)*1000</f>
        <v>99.902764761012193</v>
      </c>
      <c r="S14" s="38"/>
      <c r="T14" s="39"/>
    </row>
    <row r="15" spans="1:23" x14ac:dyDescent="0.35">
      <c r="A15" t="s">
        <v>38</v>
      </c>
      <c r="B15" t="s">
        <v>7</v>
      </c>
      <c r="C15">
        <v>1</v>
      </c>
      <c r="D15" t="s">
        <v>60</v>
      </c>
      <c r="E15">
        <v>103.5</v>
      </c>
      <c r="F15">
        <v>1</v>
      </c>
      <c r="G15">
        <v>0.17199999999999999</v>
      </c>
      <c r="H15">
        <v>0.158</v>
      </c>
      <c r="I15" s="24">
        <f t="shared" si="0"/>
        <v>0.28666666666666668</v>
      </c>
      <c r="J15" s="24">
        <f t="shared" si="1"/>
        <v>0.26333333333333336</v>
      </c>
      <c r="K15" s="5">
        <f t="shared" si="2"/>
        <v>3.1080666666666668</v>
      </c>
      <c r="L15" s="38"/>
      <c r="M15" s="39"/>
      <c r="N15" s="5">
        <f t="shared" si="3"/>
        <v>6.0931000000000015</v>
      </c>
      <c r="O15" s="38"/>
      <c r="P15" s="43"/>
      <c r="Q15" s="41"/>
      <c r="R15" s="37"/>
      <c r="S15" s="38"/>
      <c r="T15" s="39"/>
    </row>
    <row r="16" spans="1:23" x14ac:dyDescent="0.35">
      <c r="A16" t="s">
        <v>40</v>
      </c>
      <c r="B16" t="s">
        <v>7</v>
      </c>
      <c r="C16">
        <v>1</v>
      </c>
      <c r="D16" t="s">
        <v>59</v>
      </c>
      <c r="E16">
        <v>107.8</v>
      </c>
      <c r="F16">
        <v>1</v>
      </c>
      <c r="G16">
        <v>0.24299999999999999</v>
      </c>
      <c r="H16">
        <v>0.214</v>
      </c>
      <c r="I16" s="24">
        <f t="shared" si="0"/>
        <v>0.40500000000000003</v>
      </c>
      <c r="J16" s="24">
        <f t="shared" si="1"/>
        <v>0.35666666666666669</v>
      </c>
      <c r="K16" s="5">
        <f t="shared" si="2"/>
        <v>4.4008833333333337</v>
      </c>
      <c r="L16" s="37">
        <f t="shared" ref="L16" si="40">AVERAGE(K16:K17)</f>
        <v>10.153924999999999</v>
      </c>
      <c r="M16" s="39">
        <f t="shared" ref="M16" si="41">(_xlfn.STDEV.S(K16:K17)/SQRT(2))/L16</f>
        <v>0.56658303726555648</v>
      </c>
      <c r="N16" s="5">
        <f t="shared" si="3"/>
        <v>8.1919500000000003</v>
      </c>
      <c r="O16" s="37">
        <f t="shared" ref="O16" si="42">AVERAGE(N16:N17)</f>
        <v>12.369575000000001</v>
      </c>
      <c r="P16" s="43">
        <f t="shared" ref="P16" si="43">(_xlfn.STDEV.S(N16:N17)/SQRT(2))/O16</f>
        <v>0.33773391567616501</v>
      </c>
      <c r="Q16" s="41">
        <f t="shared" ref="Q16" si="44">L16+O16</f>
        <v>22.523499999999999</v>
      </c>
      <c r="R16" s="40">
        <f t="shared" ref="R16" si="45">Q16*(F16/E16)*1000</f>
        <v>208.93784786641928</v>
      </c>
      <c r="S16" s="38"/>
      <c r="T16" s="39"/>
    </row>
    <row r="17" spans="1:20" x14ac:dyDescent="0.35">
      <c r="A17" t="s">
        <v>40</v>
      </c>
      <c r="B17" t="s">
        <v>7</v>
      </c>
      <c r="C17">
        <v>1</v>
      </c>
      <c r="D17" t="s">
        <v>60</v>
      </c>
      <c r="E17">
        <v>102</v>
      </c>
      <c r="F17">
        <v>1</v>
      </c>
      <c r="G17">
        <v>0.86199999999999999</v>
      </c>
      <c r="H17">
        <v>0.48199999999999998</v>
      </c>
      <c r="I17" s="24">
        <f t="shared" si="0"/>
        <v>1.4366666666666668</v>
      </c>
      <c r="J17" s="24">
        <f t="shared" si="1"/>
        <v>0.80333333333333334</v>
      </c>
      <c r="K17" s="5">
        <f t="shared" si="2"/>
        <v>15.906966666666666</v>
      </c>
      <c r="L17" s="38"/>
      <c r="M17" s="39"/>
      <c r="N17" s="5">
        <f t="shared" si="3"/>
        <v>16.5472</v>
      </c>
      <c r="O17" s="38"/>
      <c r="P17" s="43"/>
      <c r="Q17" s="41"/>
      <c r="R17" s="40"/>
      <c r="S17" s="38"/>
      <c r="T17" s="39"/>
    </row>
    <row r="18" spans="1:20" x14ac:dyDescent="0.35">
      <c r="A18" t="s">
        <v>41</v>
      </c>
      <c r="B18" t="s">
        <v>7</v>
      </c>
      <c r="C18">
        <v>1</v>
      </c>
      <c r="D18" t="s">
        <v>59</v>
      </c>
      <c r="E18">
        <v>101.8</v>
      </c>
      <c r="F18">
        <v>1</v>
      </c>
      <c r="G18">
        <v>0.156</v>
      </c>
      <c r="H18">
        <v>0.16700000000000001</v>
      </c>
      <c r="I18" s="24">
        <f t="shared" si="0"/>
        <v>0.26</v>
      </c>
      <c r="J18" s="24">
        <f t="shared" si="1"/>
        <v>0.27833333333333338</v>
      </c>
      <c r="K18" s="5">
        <f t="shared" si="2"/>
        <v>2.7936666666666667</v>
      </c>
      <c r="L18" s="37">
        <f t="shared" ref="L18" si="46">AVERAGE(K18:K19)</f>
        <v>3.2653499999999998</v>
      </c>
      <c r="M18" s="39">
        <f t="shared" ref="M18" si="47">(_xlfn.STDEV.S(K18:K19)/SQRT(2))/L18</f>
        <v>0.14445107977194901</v>
      </c>
      <c r="N18" s="5">
        <f t="shared" si="3"/>
        <v>6.5962500000000013</v>
      </c>
      <c r="O18" s="37">
        <f t="shared" ref="O18" si="48">AVERAGE(N18:N19)</f>
        <v>8.238900000000001</v>
      </c>
      <c r="P18" s="43">
        <f t="shared" ref="P18" si="49">(_xlfn.STDEV.S(N18:N19)/SQRT(2))/O18</f>
        <v>0.19937734406292082</v>
      </c>
      <c r="Q18" s="41">
        <f t="shared" ref="Q18" si="50">L18+O18</f>
        <v>11.504250000000001</v>
      </c>
      <c r="R18" s="37">
        <f t="shared" ref="R18" si="51">Q18*(F18/E18)*1000</f>
        <v>113.00834970530451</v>
      </c>
      <c r="S18" s="38"/>
      <c r="T18" s="39"/>
    </row>
    <row r="19" spans="1:20" x14ac:dyDescent="0.35">
      <c r="A19" t="s">
        <v>41</v>
      </c>
      <c r="B19" t="s">
        <v>7</v>
      </c>
      <c r="C19">
        <v>1</v>
      </c>
      <c r="D19" t="s">
        <v>60</v>
      </c>
      <c r="E19">
        <v>103.1</v>
      </c>
      <c r="F19">
        <v>1</v>
      </c>
      <c r="G19">
        <v>0.21</v>
      </c>
      <c r="H19">
        <v>0.247</v>
      </c>
      <c r="I19" s="24">
        <f t="shared" si="0"/>
        <v>0.35</v>
      </c>
      <c r="J19" s="24">
        <f t="shared" si="1"/>
        <v>0.41166666666666668</v>
      </c>
      <c r="K19" s="5">
        <f t="shared" si="2"/>
        <v>3.7370333333333332</v>
      </c>
      <c r="L19" s="38"/>
      <c r="M19" s="39"/>
      <c r="N19" s="5">
        <f t="shared" si="3"/>
        <v>9.8815500000000007</v>
      </c>
      <c r="O19" s="38"/>
      <c r="P19" s="43"/>
      <c r="Q19" s="41"/>
      <c r="R19" s="37"/>
      <c r="S19" s="38"/>
      <c r="T19" s="39"/>
    </row>
    <row r="20" spans="1:20" x14ac:dyDescent="0.35">
      <c r="A20" t="s">
        <v>42</v>
      </c>
      <c r="B20" t="s">
        <v>7</v>
      </c>
      <c r="C20">
        <v>1</v>
      </c>
      <c r="D20" t="s">
        <v>59</v>
      </c>
      <c r="E20">
        <v>108</v>
      </c>
      <c r="F20">
        <v>1</v>
      </c>
      <c r="G20">
        <v>0.442</v>
      </c>
      <c r="H20">
        <v>0.30499999999999999</v>
      </c>
      <c r="I20" s="24">
        <f t="shared" si="0"/>
        <v>0.73666666666666669</v>
      </c>
      <c r="J20" s="24">
        <f t="shared" si="1"/>
        <v>0.5083333333333333</v>
      </c>
      <c r="K20" s="5">
        <f t="shared" si="2"/>
        <v>8.0947666666666667</v>
      </c>
      <c r="L20" s="37">
        <f t="shared" ref="L20" si="52">AVERAGE(K20:K21)</f>
        <v>6.1025083333333328</v>
      </c>
      <c r="M20" s="42">
        <f t="shared" ref="M20" si="53">(_xlfn.STDEV.S(K20:K21)/SQRT(2))/L20</f>
        <v>0.32646548345557386</v>
      </c>
      <c r="N20" s="5">
        <f t="shared" si="3"/>
        <v>11.09665</v>
      </c>
      <c r="O20" s="37">
        <f t="shared" ref="O20" si="54">AVERAGE(N20:N21)</f>
        <v>8.5925750000000001</v>
      </c>
      <c r="P20" s="43">
        <f t="shared" ref="P20" si="55">(_xlfn.STDEV.S(N20:N21)/SQRT(2))/O20</f>
        <v>0.29142311821543621</v>
      </c>
      <c r="Q20" s="41">
        <f t="shared" ref="Q20" si="56">L20+O20</f>
        <v>14.695083333333333</v>
      </c>
      <c r="R20" s="37">
        <f t="shared" ref="R20" si="57">Q20*(F20/E20)*1000</f>
        <v>136.06558641975309</v>
      </c>
      <c r="S20" s="38"/>
      <c r="T20" s="39"/>
    </row>
    <row r="21" spans="1:20" x14ac:dyDescent="0.35">
      <c r="A21" t="s">
        <v>42</v>
      </c>
      <c r="B21" t="s">
        <v>7</v>
      </c>
      <c r="C21">
        <v>1</v>
      </c>
      <c r="D21" t="s">
        <v>60</v>
      </c>
      <c r="E21">
        <v>108.6</v>
      </c>
      <c r="F21">
        <v>1</v>
      </c>
      <c r="G21">
        <v>0.22500000000000001</v>
      </c>
      <c r="H21">
        <v>0.16500000000000001</v>
      </c>
      <c r="I21" s="24">
        <f t="shared" si="0"/>
        <v>0.375</v>
      </c>
      <c r="J21" s="24">
        <f t="shared" si="1"/>
        <v>0.27500000000000002</v>
      </c>
      <c r="K21" s="5">
        <f t="shared" si="2"/>
        <v>4.1102499999999997</v>
      </c>
      <c r="L21" s="38"/>
      <c r="M21" s="42"/>
      <c r="N21" s="5">
        <f t="shared" si="3"/>
        <v>6.0885000000000007</v>
      </c>
      <c r="O21" s="38"/>
      <c r="P21" s="43"/>
      <c r="Q21" s="41"/>
      <c r="R21" s="37"/>
      <c r="S21" s="38"/>
      <c r="T21" s="39"/>
    </row>
    <row r="22" spans="1:20" x14ac:dyDescent="0.35">
      <c r="A22" t="s">
        <v>43</v>
      </c>
      <c r="B22" t="s">
        <v>4</v>
      </c>
      <c r="C22">
        <v>1</v>
      </c>
      <c r="D22" t="s">
        <v>59</v>
      </c>
      <c r="E22">
        <v>102.3</v>
      </c>
      <c r="F22">
        <v>1</v>
      </c>
      <c r="G22">
        <v>0.17499999999999999</v>
      </c>
      <c r="H22">
        <v>0.13100000000000001</v>
      </c>
      <c r="I22" s="24">
        <f t="shared" si="0"/>
        <v>0.29166666666666669</v>
      </c>
      <c r="J22" s="24">
        <f t="shared" si="1"/>
        <v>0.21833333333333335</v>
      </c>
      <c r="K22" s="5">
        <f t="shared" si="2"/>
        <v>3.1940166666666667</v>
      </c>
      <c r="L22" s="37">
        <f t="shared" ref="L22:L40" si="58">AVERAGE(K22:K23)</f>
        <v>3.6849749999999997</v>
      </c>
      <c r="M22" s="42">
        <f t="shared" ref="M22" si="59">(_xlfn.STDEV.S(K22:K23)/SQRT(2))/L22</f>
        <v>0.13323247330940793</v>
      </c>
      <c r="N22" s="5">
        <f t="shared" si="3"/>
        <v>4.855900000000001</v>
      </c>
      <c r="O22" s="37">
        <f t="shared" ref="O22:O40" si="60">AVERAGE(N22:N23)</f>
        <v>5.2825249999999997</v>
      </c>
      <c r="P22" s="43">
        <f t="shared" ref="P22" si="61">(_xlfn.STDEV.S(N22:N23)/SQRT(2))/O22</f>
        <v>8.0761567621544447E-2</v>
      </c>
      <c r="Q22" s="41">
        <f t="shared" ref="Q22" si="62">L22+O22</f>
        <v>8.9674999999999994</v>
      </c>
      <c r="R22" s="37">
        <f t="shared" ref="R22" si="63">Q22*(F22/E22)*1000</f>
        <v>87.658846529814255</v>
      </c>
      <c r="S22" s="37">
        <f t="shared" ref="S22" si="64">AVERAGE(R22:R31)</f>
        <v>100.36089099290965</v>
      </c>
      <c r="T22" s="39">
        <f t="shared" ref="T22" si="65">(_xlfn.STDEV.S(R22:R31)/SQRT(5))/S22</f>
        <v>4.8885280378417002E-2</v>
      </c>
    </row>
    <row r="23" spans="1:20" x14ac:dyDescent="0.35">
      <c r="A23" t="s">
        <v>43</v>
      </c>
      <c r="B23" t="s">
        <v>4</v>
      </c>
      <c r="C23">
        <v>1</v>
      </c>
      <c r="D23" t="s">
        <v>60</v>
      </c>
      <c r="E23">
        <v>103.5</v>
      </c>
      <c r="F23">
        <v>1</v>
      </c>
      <c r="G23">
        <v>0.22800000000000001</v>
      </c>
      <c r="H23">
        <v>0.157</v>
      </c>
      <c r="I23" s="24">
        <f t="shared" si="0"/>
        <v>0.38</v>
      </c>
      <c r="J23" s="24">
        <f t="shared" si="1"/>
        <v>0.26166666666666666</v>
      </c>
      <c r="K23" s="5">
        <f t="shared" si="2"/>
        <v>4.1759333333333331</v>
      </c>
      <c r="L23" s="38"/>
      <c r="M23" s="42"/>
      <c r="N23" s="5">
        <f t="shared" si="3"/>
        <v>5.7091499999999993</v>
      </c>
      <c r="O23" s="38"/>
      <c r="P23" s="43"/>
      <c r="Q23" s="41"/>
      <c r="R23" s="37"/>
      <c r="S23" s="38"/>
      <c r="T23" s="39"/>
    </row>
    <row r="24" spans="1:20" x14ac:dyDescent="0.35">
      <c r="A24" t="s">
        <v>47</v>
      </c>
      <c r="B24" t="s">
        <v>4</v>
      </c>
      <c r="C24">
        <v>1</v>
      </c>
      <c r="D24" t="s">
        <v>59</v>
      </c>
      <c r="E24">
        <v>102.2</v>
      </c>
      <c r="F24">
        <v>1</v>
      </c>
      <c r="G24">
        <v>0.38800000000000001</v>
      </c>
      <c r="H24">
        <v>0.222</v>
      </c>
      <c r="I24" s="24">
        <f t="shared" si="0"/>
        <v>0.64666666666666672</v>
      </c>
      <c r="J24" s="24">
        <f t="shared" si="1"/>
        <v>0.37</v>
      </c>
      <c r="K24" s="5">
        <f t="shared" si="2"/>
        <v>7.1546000000000012</v>
      </c>
      <c r="L24" s="37">
        <f t="shared" si="58"/>
        <v>4.8917583333333337</v>
      </c>
      <c r="M24" s="39">
        <f t="shared" ref="M24" si="66">(_xlfn.STDEV.S(K24:K25)/SQRT(2))/L24</f>
        <v>0.46258247290084858</v>
      </c>
      <c r="N24" s="5">
        <f t="shared" si="3"/>
        <v>7.6758999999999986</v>
      </c>
      <c r="O24" s="37">
        <f t="shared" si="60"/>
        <v>6.2211999999999996</v>
      </c>
      <c r="P24" s="43">
        <f t="shared" ref="P24" si="67">(_xlfn.STDEV.S(N24:N25)/SQRT(2))/O24</f>
        <v>0.23382948627274441</v>
      </c>
      <c r="Q24" s="41">
        <f t="shared" ref="Q24" si="68">L24+O24</f>
        <v>11.112958333333333</v>
      </c>
      <c r="R24" s="37">
        <f t="shared" ref="R24" si="69">Q24*(F24/E24)*1000</f>
        <v>108.73736138290931</v>
      </c>
      <c r="S24" s="38"/>
      <c r="T24" s="39"/>
    </row>
    <row r="25" spans="1:20" x14ac:dyDescent="0.35">
      <c r="A25" t="s">
        <v>47</v>
      </c>
      <c r="B25" t="s">
        <v>4</v>
      </c>
      <c r="C25">
        <v>1</v>
      </c>
      <c r="D25" t="s">
        <v>60</v>
      </c>
      <c r="E25">
        <v>99.5</v>
      </c>
      <c r="F25">
        <v>1</v>
      </c>
      <c r="G25">
        <v>0.14499999999999999</v>
      </c>
      <c r="H25">
        <v>0.125</v>
      </c>
      <c r="I25" s="24">
        <f t="shared" si="0"/>
        <v>0.24166666666666667</v>
      </c>
      <c r="J25" s="24">
        <f t="shared" si="1"/>
        <v>0.20833333333333334</v>
      </c>
      <c r="K25" s="5">
        <f t="shared" si="2"/>
        <v>2.6289166666666666</v>
      </c>
      <c r="L25" s="38"/>
      <c r="M25" s="39"/>
      <c r="N25" s="5">
        <f t="shared" si="3"/>
        <v>4.7664999999999997</v>
      </c>
      <c r="O25" s="38"/>
      <c r="P25" s="43"/>
      <c r="Q25" s="41"/>
      <c r="R25" s="37"/>
      <c r="S25" s="38"/>
      <c r="T25" s="39"/>
    </row>
    <row r="26" spans="1:20" x14ac:dyDescent="0.35">
      <c r="A26" t="s">
        <v>44</v>
      </c>
      <c r="B26" t="s">
        <v>4</v>
      </c>
      <c r="C26">
        <v>1</v>
      </c>
      <c r="D26" t="s">
        <v>59</v>
      </c>
      <c r="E26">
        <v>106.6</v>
      </c>
      <c r="F26">
        <v>1</v>
      </c>
      <c r="G26">
        <v>0.28299999999999997</v>
      </c>
      <c r="H26">
        <v>0.182</v>
      </c>
      <c r="I26" s="24">
        <f t="shared" si="0"/>
        <v>0.47166666666666662</v>
      </c>
      <c r="J26" s="24">
        <f t="shared" si="1"/>
        <v>0.30333333333333334</v>
      </c>
      <c r="K26" s="5">
        <f t="shared" si="2"/>
        <v>5.1970166666666664</v>
      </c>
      <c r="L26" s="37">
        <f t="shared" si="58"/>
        <v>4.4225166666666667</v>
      </c>
      <c r="M26" s="42">
        <f t="shared" ref="M26" si="70">(_xlfn.STDEV.S(K26:K27)/SQRT(2))/L26</f>
        <v>0.17512653051995272</v>
      </c>
      <c r="N26" s="5">
        <f t="shared" si="3"/>
        <v>6.5051500000000004</v>
      </c>
      <c r="O26" s="37">
        <f t="shared" si="60"/>
        <v>5.675650000000001</v>
      </c>
      <c r="P26" s="42">
        <f t="shared" ref="P26" si="71">(_xlfn.STDEV.S(N26:N27)/SQRT(2))/O26</f>
        <v>0.14615066115775235</v>
      </c>
      <c r="Q26" s="41">
        <f t="shared" ref="Q26" si="72">L26+O26</f>
        <v>10.098166666666668</v>
      </c>
      <c r="R26" s="37">
        <f t="shared" ref="R26" si="73">Q26*(F26/E26)*1000</f>
        <v>94.729518449030664</v>
      </c>
      <c r="S26" s="38"/>
      <c r="T26" s="39"/>
    </row>
    <row r="27" spans="1:20" x14ac:dyDescent="0.35">
      <c r="A27" t="s">
        <v>44</v>
      </c>
      <c r="B27" t="s">
        <v>4</v>
      </c>
      <c r="C27">
        <v>1</v>
      </c>
      <c r="D27" t="s">
        <v>60</v>
      </c>
      <c r="E27">
        <v>99.9</v>
      </c>
      <c r="F27">
        <v>1</v>
      </c>
      <c r="G27">
        <v>0.19900000000000001</v>
      </c>
      <c r="H27">
        <v>0.13400000000000001</v>
      </c>
      <c r="I27" s="24">
        <f t="shared" si="0"/>
        <v>0.33166666666666672</v>
      </c>
      <c r="J27" s="24">
        <f t="shared" si="1"/>
        <v>0.22333333333333336</v>
      </c>
      <c r="K27" s="5">
        <f t="shared" si="2"/>
        <v>3.6480166666666669</v>
      </c>
      <c r="L27" s="38"/>
      <c r="M27" s="42"/>
      <c r="N27" s="5">
        <f t="shared" si="3"/>
        <v>4.8461500000000006</v>
      </c>
      <c r="O27" s="38"/>
      <c r="P27" s="42"/>
      <c r="Q27" s="41"/>
      <c r="R27" s="37"/>
      <c r="S27" s="38"/>
      <c r="T27" s="39"/>
    </row>
    <row r="28" spans="1:20" x14ac:dyDescent="0.35">
      <c r="A28" t="s">
        <v>45</v>
      </c>
      <c r="B28" t="s">
        <v>4</v>
      </c>
      <c r="C28">
        <v>1</v>
      </c>
      <c r="D28" t="s">
        <v>59</v>
      </c>
      <c r="E28">
        <v>107</v>
      </c>
      <c r="F28">
        <v>1</v>
      </c>
      <c r="G28">
        <v>0.36599999999999999</v>
      </c>
      <c r="H28">
        <v>0.224</v>
      </c>
      <c r="I28" s="24">
        <f t="shared" si="0"/>
        <v>0.61</v>
      </c>
      <c r="J28" s="24">
        <f t="shared" si="1"/>
        <v>0.37333333333333335</v>
      </c>
      <c r="K28" s="5">
        <f t="shared" si="2"/>
        <v>6.7333666666666661</v>
      </c>
      <c r="L28" s="37">
        <f t="shared" si="58"/>
        <v>5.5128666666666657</v>
      </c>
      <c r="M28" s="39">
        <f t="shared" ref="M28" si="74">(_xlfn.STDEV.S(K28:K29)/SQRT(2))/L28</f>
        <v>0.22139116974834672</v>
      </c>
      <c r="N28" s="5">
        <f t="shared" si="3"/>
        <v>7.8993000000000002</v>
      </c>
      <c r="O28" s="37">
        <f t="shared" si="60"/>
        <v>6.7409250000000007</v>
      </c>
      <c r="P28" s="43">
        <f t="shared" ref="P28" si="75">(_xlfn.STDEV.S(N28:N29)/SQRT(2))/O28</f>
        <v>0.17184214332602629</v>
      </c>
      <c r="Q28" s="41">
        <f t="shared" ref="Q28" si="76">L28+O28</f>
        <v>12.253791666666666</v>
      </c>
      <c r="R28" s="37">
        <f t="shared" ref="R28" si="77">Q28*(F28/E28)*1000</f>
        <v>114.52141744548285</v>
      </c>
      <c r="S28" s="38"/>
      <c r="T28" s="39"/>
    </row>
    <row r="29" spans="1:20" x14ac:dyDescent="0.35">
      <c r="A29" t="s">
        <v>45</v>
      </c>
      <c r="B29" t="s">
        <v>4</v>
      </c>
      <c r="C29">
        <v>1</v>
      </c>
      <c r="D29" t="s">
        <v>60</v>
      </c>
      <c r="E29">
        <v>106.6</v>
      </c>
      <c r="F29">
        <v>1</v>
      </c>
      <c r="G29">
        <v>0.23400000000000001</v>
      </c>
      <c r="H29">
        <v>0.155</v>
      </c>
      <c r="I29" s="24">
        <f t="shared" si="0"/>
        <v>0.39</v>
      </c>
      <c r="J29" s="24">
        <f t="shared" si="1"/>
        <v>0.25833333333333336</v>
      </c>
      <c r="K29" s="5">
        <f t="shared" si="2"/>
        <v>4.2923666666666662</v>
      </c>
      <c r="L29" s="38"/>
      <c r="M29" s="39"/>
      <c r="N29" s="5">
        <f t="shared" si="3"/>
        <v>5.5825500000000003</v>
      </c>
      <c r="O29" s="38"/>
      <c r="P29" s="43"/>
      <c r="Q29" s="41"/>
      <c r="R29" s="37"/>
      <c r="S29" s="38"/>
      <c r="T29" s="39"/>
    </row>
    <row r="30" spans="1:20" x14ac:dyDescent="0.35">
      <c r="A30" t="s">
        <v>46</v>
      </c>
      <c r="B30" t="s">
        <v>4</v>
      </c>
      <c r="C30">
        <v>1</v>
      </c>
      <c r="D30" t="s">
        <v>59</v>
      </c>
      <c r="E30">
        <v>96.2</v>
      </c>
      <c r="F30">
        <v>1</v>
      </c>
      <c r="G30">
        <v>0.17100000000000001</v>
      </c>
      <c r="H30">
        <v>0.17299999999999999</v>
      </c>
      <c r="I30" s="24">
        <f t="shared" si="0"/>
        <v>0.28500000000000003</v>
      </c>
      <c r="J30" s="24">
        <f t="shared" si="1"/>
        <v>0.28833333333333333</v>
      </c>
      <c r="K30" s="5">
        <f t="shared" si="2"/>
        <v>3.0730166666666667</v>
      </c>
      <c r="L30" s="37">
        <f t="shared" si="58"/>
        <v>3.0487833333333336</v>
      </c>
      <c r="M30" s="39">
        <f t="shared" ref="M30" si="78">(_xlfn.STDEV.S(K30:K31)/SQRT(2))/L30</f>
        <v>7.9485259147090721E-3</v>
      </c>
      <c r="N30" s="5">
        <f t="shared" si="3"/>
        <v>6.7763999999999998</v>
      </c>
      <c r="O30" s="37">
        <f t="shared" si="60"/>
        <v>6.2015499999999992</v>
      </c>
      <c r="P30" s="42">
        <f t="shared" ref="P30" si="79">(_xlfn.STDEV.S(N30:N31)/SQRT(2))/O30</f>
        <v>9.2694568293410537E-2</v>
      </c>
      <c r="Q30" s="41">
        <f t="shared" ref="Q30" si="80">L30+O30</f>
        <v>9.2503333333333337</v>
      </c>
      <c r="R30" s="37">
        <f t="shared" ref="R30" si="81">Q30*(F30/E30)*1000</f>
        <v>96.157311157311142</v>
      </c>
      <c r="S30" s="38"/>
      <c r="T30" s="39"/>
    </row>
    <row r="31" spans="1:20" x14ac:dyDescent="0.35">
      <c r="A31" t="s">
        <v>46</v>
      </c>
      <c r="B31" t="s">
        <v>4</v>
      </c>
      <c r="C31">
        <v>1</v>
      </c>
      <c r="D31" t="s">
        <v>60</v>
      </c>
      <c r="E31">
        <v>101.7</v>
      </c>
      <c r="F31">
        <v>1</v>
      </c>
      <c r="G31">
        <v>0.16700000000000001</v>
      </c>
      <c r="H31">
        <v>0.14699999999999999</v>
      </c>
      <c r="I31" s="24">
        <f t="shared" si="0"/>
        <v>0.27833333333333338</v>
      </c>
      <c r="J31" s="24">
        <f t="shared" si="1"/>
        <v>0.245</v>
      </c>
      <c r="K31" s="5">
        <f t="shared" si="2"/>
        <v>3.0245500000000005</v>
      </c>
      <c r="L31" s="38"/>
      <c r="M31" s="39"/>
      <c r="N31" s="5">
        <f t="shared" si="3"/>
        <v>5.6266999999999996</v>
      </c>
      <c r="O31" s="38"/>
      <c r="P31" s="42"/>
      <c r="Q31" s="41"/>
      <c r="R31" s="37"/>
      <c r="S31" s="38"/>
      <c r="T31" s="39"/>
    </row>
    <row r="32" spans="1:20" x14ac:dyDescent="0.35">
      <c r="A32" t="s">
        <v>48</v>
      </c>
      <c r="B32" t="s">
        <v>3</v>
      </c>
      <c r="C32">
        <v>1</v>
      </c>
      <c r="D32" t="s">
        <v>59</v>
      </c>
      <c r="E32">
        <v>103.1</v>
      </c>
      <c r="F32">
        <v>1</v>
      </c>
      <c r="G32">
        <v>0.23100000000000001</v>
      </c>
      <c r="H32">
        <v>0.21099999999999999</v>
      </c>
      <c r="I32" s="24">
        <f t="shared" si="0"/>
        <v>0.38500000000000001</v>
      </c>
      <c r="J32" s="24">
        <f t="shared" si="1"/>
        <v>0.35166666666666668</v>
      </c>
      <c r="K32" s="5">
        <f t="shared" si="2"/>
        <v>4.1754833333333332</v>
      </c>
      <c r="L32" s="37">
        <f t="shared" si="58"/>
        <v>3.1936416666666667</v>
      </c>
      <c r="M32" s="39">
        <f t="shared" ref="M32" si="82">(_xlfn.STDEV.S(K32:K33)/SQRT(2))/L32</f>
        <v>0.30743639053640426</v>
      </c>
      <c r="N32" s="5">
        <f t="shared" si="3"/>
        <v>8.1290999999999993</v>
      </c>
      <c r="O32" s="37">
        <f t="shared" si="60"/>
        <v>6.8725249999999996</v>
      </c>
      <c r="P32" s="43">
        <f t="shared" ref="P32" si="83">(_xlfn.STDEV.S(N32:N33)/SQRT(2))/O32</f>
        <v>0.18284036798702108</v>
      </c>
      <c r="Q32" s="41">
        <f t="shared" ref="Q32" si="84">L32+O32</f>
        <v>10.066166666666666</v>
      </c>
      <c r="R32" s="37">
        <f t="shared" ref="R32" si="85">Q32*(F32/E32)*1000</f>
        <v>97.6349822179114</v>
      </c>
      <c r="S32" s="37">
        <f t="shared" ref="S32" si="86">AVERAGE(R32:R41)</f>
        <v>86.100895208512014</v>
      </c>
      <c r="T32" s="39">
        <f t="shared" ref="T32" si="87">(_xlfn.STDEV.S(R32:R41)/SQRT(5))/S32</f>
        <v>0.11587477195222594</v>
      </c>
    </row>
    <row r="33" spans="1:20" x14ac:dyDescent="0.35">
      <c r="A33" t="s">
        <v>48</v>
      </c>
      <c r="B33" t="s">
        <v>3</v>
      </c>
      <c r="C33">
        <v>1</v>
      </c>
      <c r="D33" t="s">
        <v>60</v>
      </c>
      <c r="E33">
        <v>108.8</v>
      </c>
      <c r="F33">
        <v>1</v>
      </c>
      <c r="G33">
        <v>0.124</v>
      </c>
      <c r="H33">
        <v>0.14099999999999999</v>
      </c>
      <c r="I33" s="24">
        <f t="shared" si="0"/>
        <v>0.20666666666666667</v>
      </c>
      <c r="J33" s="24">
        <f t="shared" si="1"/>
        <v>0.23499999999999999</v>
      </c>
      <c r="K33" s="5">
        <f t="shared" si="2"/>
        <v>2.2118000000000002</v>
      </c>
      <c r="L33" s="38"/>
      <c r="M33" s="39"/>
      <c r="N33" s="5">
        <f t="shared" si="3"/>
        <v>5.6159499999999998</v>
      </c>
      <c r="O33" s="38"/>
      <c r="P33" s="43"/>
      <c r="Q33" s="41"/>
      <c r="R33" s="37"/>
      <c r="S33" s="38"/>
      <c r="T33" s="39"/>
    </row>
    <row r="34" spans="1:20" x14ac:dyDescent="0.35">
      <c r="A34" t="s">
        <v>49</v>
      </c>
      <c r="B34" t="s">
        <v>3</v>
      </c>
      <c r="C34">
        <v>1</v>
      </c>
      <c r="D34" t="s">
        <v>59</v>
      </c>
      <c r="E34">
        <v>108.3</v>
      </c>
      <c r="F34">
        <v>1</v>
      </c>
      <c r="G34">
        <v>0.108</v>
      </c>
      <c r="H34">
        <v>0.125</v>
      </c>
      <c r="I34" s="24">
        <f t="shared" si="0"/>
        <v>0.18</v>
      </c>
      <c r="J34" s="24">
        <f t="shared" si="1"/>
        <v>0.20833333333333334</v>
      </c>
      <c r="K34" s="5">
        <f t="shared" si="2"/>
        <v>1.9240666666666666</v>
      </c>
      <c r="L34" s="37">
        <f t="shared" si="58"/>
        <v>2.0331083333333333</v>
      </c>
      <c r="M34" s="39">
        <f t="shared" ref="M34" si="88">(_xlfn.STDEV.S(K34:K35)/SQRT(2))/L34</f>
        <v>5.3632983977735263E-2</v>
      </c>
      <c r="N34" s="5">
        <f t="shared" si="3"/>
        <v>4.9903499999999994</v>
      </c>
      <c r="O34" s="37">
        <f t="shared" si="60"/>
        <v>4.7764749999999996</v>
      </c>
      <c r="P34" s="43">
        <f t="shared" ref="P34" si="89">(_xlfn.STDEV.S(N34:N35)/SQRT(2))/O34</f>
        <v>4.4776744356455199E-2</v>
      </c>
      <c r="Q34" s="41">
        <f t="shared" ref="Q34" si="90">L34+O34</f>
        <v>6.8095833333333324</v>
      </c>
      <c r="R34" s="37">
        <f t="shared" ref="R34" si="91">Q34*(F34/E34)*1000</f>
        <v>62.87703908895044</v>
      </c>
      <c r="S34" s="38"/>
      <c r="T34" s="39"/>
    </row>
    <row r="35" spans="1:20" x14ac:dyDescent="0.35">
      <c r="A35" t="s">
        <v>49</v>
      </c>
      <c r="B35" t="s">
        <v>3</v>
      </c>
      <c r="C35">
        <v>1</v>
      </c>
      <c r="D35" t="s">
        <v>60</v>
      </c>
      <c r="E35">
        <v>104.6</v>
      </c>
      <c r="F35">
        <v>1</v>
      </c>
      <c r="G35">
        <v>0.11899999999999999</v>
      </c>
      <c r="H35">
        <v>0.11700000000000001</v>
      </c>
      <c r="I35" s="24">
        <f t="shared" si="0"/>
        <v>0.19833333333333333</v>
      </c>
      <c r="J35" s="24">
        <f t="shared" si="1"/>
        <v>0.19500000000000001</v>
      </c>
      <c r="K35" s="5">
        <f t="shared" si="2"/>
        <v>2.14215</v>
      </c>
      <c r="L35" s="38"/>
      <c r="M35" s="39"/>
      <c r="N35" s="5">
        <f t="shared" si="3"/>
        <v>4.5626000000000007</v>
      </c>
      <c r="O35" s="38"/>
      <c r="P35" s="43"/>
      <c r="Q35" s="41"/>
      <c r="R35" s="37"/>
      <c r="S35" s="38"/>
      <c r="T35" s="39"/>
    </row>
    <row r="36" spans="1:20" x14ac:dyDescent="0.35">
      <c r="A36" t="s">
        <v>50</v>
      </c>
      <c r="B36" t="s">
        <v>3</v>
      </c>
      <c r="C36">
        <v>1</v>
      </c>
      <c r="D36" t="s">
        <v>59</v>
      </c>
      <c r="E36">
        <v>102.7</v>
      </c>
      <c r="F36">
        <v>1</v>
      </c>
      <c r="G36">
        <v>0.20300000000000001</v>
      </c>
      <c r="H36">
        <v>0.17</v>
      </c>
      <c r="I36" s="24">
        <f t="shared" si="0"/>
        <v>0.33833333333333337</v>
      </c>
      <c r="J36" s="24">
        <f t="shared" si="1"/>
        <v>0.28333333333333338</v>
      </c>
      <c r="K36" s="5">
        <f t="shared" si="2"/>
        <v>3.6858166666666672</v>
      </c>
      <c r="L36" s="37">
        <f t="shared" si="58"/>
        <v>3.8101000000000003</v>
      </c>
      <c r="M36" s="39">
        <f t="shared" ref="M36" si="92">(_xlfn.STDEV.S(K36:K37)/SQRT(2))/L36</f>
        <v>3.2619441309501812E-2</v>
      </c>
      <c r="N36" s="5">
        <f t="shared" si="3"/>
        <v>6.447350000000001</v>
      </c>
      <c r="O36" s="37">
        <f t="shared" si="60"/>
        <v>6.7887750000000011</v>
      </c>
      <c r="P36" s="43">
        <f t="shared" ref="P36" si="93">(_xlfn.STDEV.S(N36:N37)/SQRT(2))/O36</f>
        <v>5.0292578557987272E-2</v>
      </c>
      <c r="Q36" s="41">
        <f t="shared" ref="Q36" si="94">L36+O36</f>
        <v>10.598875000000001</v>
      </c>
      <c r="R36" s="37">
        <f t="shared" ref="R36" si="95">Q36*(F36/E36)*1000</f>
        <v>103.20228821811101</v>
      </c>
      <c r="S36" s="38"/>
      <c r="T36" s="39"/>
    </row>
    <row r="37" spans="1:20" x14ac:dyDescent="0.35">
      <c r="A37" t="s">
        <v>50</v>
      </c>
      <c r="B37" t="s">
        <v>3</v>
      </c>
      <c r="C37">
        <v>1</v>
      </c>
      <c r="D37" t="s">
        <v>60</v>
      </c>
      <c r="E37">
        <v>108.4</v>
      </c>
      <c r="F37">
        <v>1</v>
      </c>
      <c r="G37">
        <v>0.217</v>
      </c>
      <c r="H37">
        <v>0.187</v>
      </c>
      <c r="I37" s="24">
        <f t="shared" si="0"/>
        <v>0.36166666666666669</v>
      </c>
      <c r="J37" s="24">
        <f t="shared" si="1"/>
        <v>0.3116666666666667</v>
      </c>
      <c r="K37" s="5">
        <f t="shared" si="2"/>
        <v>3.9343833333333329</v>
      </c>
      <c r="L37" s="38"/>
      <c r="M37" s="39"/>
      <c r="N37" s="5">
        <f t="shared" si="3"/>
        <v>7.1302000000000012</v>
      </c>
      <c r="O37" s="38"/>
      <c r="P37" s="43"/>
      <c r="Q37" s="41"/>
      <c r="R37" s="37"/>
      <c r="S37" s="38"/>
      <c r="T37" s="39"/>
    </row>
    <row r="38" spans="1:20" x14ac:dyDescent="0.35">
      <c r="A38" t="s">
        <v>51</v>
      </c>
      <c r="B38" t="s">
        <v>3</v>
      </c>
      <c r="C38">
        <v>1</v>
      </c>
      <c r="D38" t="s">
        <v>59</v>
      </c>
      <c r="E38">
        <v>109.4</v>
      </c>
      <c r="F38">
        <v>1</v>
      </c>
      <c r="G38">
        <v>0.27600000000000002</v>
      </c>
      <c r="H38">
        <v>0.19900000000000001</v>
      </c>
      <c r="I38" s="24">
        <f t="shared" si="0"/>
        <v>0.46000000000000008</v>
      </c>
      <c r="J38" s="24">
        <f t="shared" si="1"/>
        <v>0.33166666666666672</v>
      </c>
      <c r="K38" s="5">
        <f t="shared" si="2"/>
        <v>5.0455333333333341</v>
      </c>
      <c r="L38" s="37">
        <f t="shared" si="58"/>
        <v>4.7932333333333332</v>
      </c>
      <c r="M38" s="39">
        <f t="shared" ref="M38" si="96">(_xlfn.STDEV.S(K38:K39)/SQRT(2))/L38</f>
        <v>5.2636703130107113E-2</v>
      </c>
      <c r="N38" s="5">
        <f t="shared" si="3"/>
        <v>7.3150500000000012</v>
      </c>
      <c r="O38" s="37">
        <f t="shared" si="60"/>
        <v>6.7902250000000013</v>
      </c>
      <c r="P38" s="43">
        <f t="shared" ref="P38" si="97">(_xlfn.STDEV.S(N38:N39)/SQRT(2))/O38</f>
        <v>7.7291253235349383E-2</v>
      </c>
      <c r="Q38" s="41">
        <f t="shared" ref="Q38" si="98">L38+O38</f>
        <v>11.583458333333335</v>
      </c>
      <c r="R38" s="37">
        <f t="shared" ref="R38" si="99">Q38*(F38/E38)*1000</f>
        <v>105.88170322973797</v>
      </c>
      <c r="S38" s="38"/>
      <c r="T38" s="39"/>
    </row>
    <row r="39" spans="1:20" x14ac:dyDescent="0.35">
      <c r="A39" t="s">
        <v>51</v>
      </c>
      <c r="B39" t="s">
        <v>3</v>
      </c>
      <c r="C39">
        <v>1</v>
      </c>
      <c r="D39" t="s">
        <v>60</v>
      </c>
      <c r="E39">
        <v>103.6</v>
      </c>
      <c r="F39">
        <v>1</v>
      </c>
      <c r="G39">
        <v>0.248</v>
      </c>
      <c r="H39">
        <v>0.17199999999999999</v>
      </c>
      <c r="I39" s="24">
        <f t="shared" si="0"/>
        <v>0.41333333333333333</v>
      </c>
      <c r="J39" s="24">
        <f t="shared" si="1"/>
        <v>0.28666666666666668</v>
      </c>
      <c r="K39" s="5">
        <f t="shared" si="2"/>
        <v>4.5409333333333333</v>
      </c>
      <c r="L39" s="38"/>
      <c r="M39" s="39"/>
      <c r="N39" s="5">
        <f t="shared" si="3"/>
        <v>6.2654000000000005</v>
      </c>
      <c r="O39" s="38"/>
      <c r="P39" s="43"/>
      <c r="Q39" s="41"/>
      <c r="R39" s="37"/>
      <c r="S39" s="38"/>
      <c r="T39" s="39"/>
    </row>
    <row r="40" spans="1:20" x14ac:dyDescent="0.35">
      <c r="A40" t="s">
        <v>52</v>
      </c>
      <c r="B40" t="s">
        <v>3</v>
      </c>
      <c r="C40">
        <v>1</v>
      </c>
      <c r="D40" t="s">
        <v>59</v>
      </c>
      <c r="E40">
        <v>102.6</v>
      </c>
      <c r="F40">
        <v>1</v>
      </c>
      <c r="G40">
        <v>6.6000000000000003E-2</v>
      </c>
      <c r="H40">
        <v>8.5000000000000006E-2</v>
      </c>
      <c r="I40" s="24">
        <f t="shared" si="0"/>
        <v>0.11000000000000001</v>
      </c>
      <c r="J40" s="24">
        <f t="shared" si="1"/>
        <v>0.14166666666666669</v>
      </c>
      <c r="K40" s="5">
        <f t="shared" si="2"/>
        <v>1.1666333333333334</v>
      </c>
      <c r="L40" s="37">
        <f t="shared" si="58"/>
        <v>1.9014333333333333</v>
      </c>
      <c r="M40" s="42">
        <f t="shared" ref="M40" si="100">(_xlfn.STDEV.S(K40:K41)/SQRT(2))/L40</f>
        <v>0.38644531318479036</v>
      </c>
      <c r="N40" s="5">
        <f t="shared" si="3"/>
        <v>3.4384500000000005</v>
      </c>
      <c r="O40" s="37">
        <f t="shared" si="60"/>
        <v>4.3477750000000004</v>
      </c>
      <c r="P40" s="42">
        <f t="shared" ref="P40" si="101">(_xlfn.STDEV.S(N40:N41)/SQRT(2))/O40</f>
        <v>0.20914720747968762</v>
      </c>
      <c r="Q40" s="41">
        <f t="shared" ref="Q40" si="102">L40+O40</f>
        <v>6.2492083333333337</v>
      </c>
      <c r="R40" s="37">
        <f>Q40*(F40/E40)*1000</f>
        <v>60.908463287849258</v>
      </c>
      <c r="S40" s="38"/>
      <c r="T40" s="39"/>
    </row>
    <row r="41" spans="1:20" x14ac:dyDescent="0.35">
      <c r="A41" t="s">
        <v>52</v>
      </c>
      <c r="B41" t="s">
        <v>3</v>
      </c>
      <c r="C41">
        <v>1</v>
      </c>
      <c r="D41" t="s">
        <v>60</v>
      </c>
      <c r="E41">
        <v>104.2</v>
      </c>
      <c r="F41">
        <v>1</v>
      </c>
      <c r="G41">
        <v>0.14599999999999999</v>
      </c>
      <c r="H41">
        <v>0.13600000000000001</v>
      </c>
      <c r="I41" s="24">
        <f t="shared" si="0"/>
        <v>0.24333333333333332</v>
      </c>
      <c r="J41" s="24">
        <f t="shared" si="1"/>
        <v>0.22666666666666668</v>
      </c>
      <c r="K41" s="5">
        <f t="shared" si="2"/>
        <v>2.6362333333333332</v>
      </c>
      <c r="L41" s="38"/>
      <c r="M41" s="42"/>
      <c r="N41" s="5">
        <f t="shared" si="3"/>
        <v>5.2571000000000003</v>
      </c>
      <c r="O41" s="38"/>
      <c r="P41" s="42"/>
      <c r="Q41" s="41"/>
      <c r="R41" s="37"/>
      <c r="S41" s="38"/>
      <c r="T41" s="39"/>
    </row>
    <row r="42" spans="1:20" x14ac:dyDescent="0.35">
      <c r="A42" s="27" t="s">
        <v>32</v>
      </c>
      <c r="B42" s="27" t="s">
        <v>10</v>
      </c>
      <c r="C42" s="27">
        <v>2</v>
      </c>
      <c r="D42" s="27" t="s">
        <v>59</v>
      </c>
      <c r="E42" s="27">
        <v>108.5</v>
      </c>
      <c r="F42" s="27">
        <v>1</v>
      </c>
      <c r="G42" s="27">
        <v>0.106</v>
      </c>
      <c r="H42" s="27">
        <v>0.17699999999999999</v>
      </c>
      <c r="I42" s="24"/>
      <c r="J42" s="24"/>
      <c r="K42" s="5"/>
      <c r="L42" s="29"/>
      <c r="M42" s="28"/>
    </row>
    <row r="43" spans="1:20" x14ac:dyDescent="0.35">
      <c r="A43" s="27" t="s">
        <v>32</v>
      </c>
      <c r="B43" s="27" t="s">
        <v>10</v>
      </c>
      <c r="C43" s="27">
        <v>2</v>
      </c>
      <c r="D43" s="27" t="s">
        <v>60</v>
      </c>
      <c r="E43" s="27">
        <v>102.5</v>
      </c>
      <c r="F43" s="27">
        <v>1</v>
      </c>
      <c r="G43" s="27">
        <v>0.216</v>
      </c>
      <c r="H43" s="27">
        <v>0.41599999999999998</v>
      </c>
      <c r="I43" s="24"/>
      <c r="J43" s="24"/>
      <c r="K43" s="5"/>
      <c r="M43" s="28"/>
    </row>
    <row r="44" spans="1:20" x14ac:dyDescent="0.35">
      <c r="A44" s="27" t="s">
        <v>33</v>
      </c>
      <c r="B44" s="27" t="s">
        <v>10</v>
      </c>
      <c r="C44" s="27">
        <v>2</v>
      </c>
      <c r="D44" s="27" t="s">
        <v>59</v>
      </c>
      <c r="E44" s="27">
        <v>102.5</v>
      </c>
      <c r="F44" s="27">
        <v>1</v>
      </c>
      <c r="G44" s="27">
        <v>0.153</v>
      </c>
      <c r="H44" s="27">
        <v>0.20899999999999999</v>
      </c>
      <c r="I44" s="24"/>
      <c r="J44" s="24"/>
      <c r="K44" s="5"/>
      <c r="L44" s="29"/>
      <c r="M44" s="30"/>
    </row>
    <row r="45" spans="1:20" x14ac:dyDescent="0.35">
      <c r="A45" s="27" t="s">
        <v>33</v>
      </c>
      <c r="B45" s="27" t="s">
        <v>10</v>
      </c>
      <c r="C45" s="27">
        <v>2</v>
      </c>
      <c r="D45" s="27" t="s">
        <v>60</v>
      </c>
      <c r="E45" s="27">
        <v>109.9</v>
      </c>
      <c r="F45" s="27">
        <v>1</v>
      </c>
      <c r="G45" s="27">
        <v>0.11899999999999999</v>
      </c>
      <c r="H45" s="27">
        <v>9.5000000000000001E-2</v>
      </c>
      <c r="I45" s="24"/>
      <c r="J45" s="24"/>
      <c r="K45" s="5"/>
      <c r="M45" s="30"/>
    </row>
    <row r="46" spans="1:20" x14ac:dyDescent="0.35">
      <c r="A46" s="27" t="s">
        <v>34</v>
      </c>
      <c r="B46" s="27" t="s">
        <v>10</v>
      </c>
      <c r="C46" s="27">
        <v>2</v>
      </c>
      <c r="D46" s="27" t="s">
        <v>59</v>
      </c>
      <c r="E46" s="27">
        <v>98.2</v>
      </c>
      <c r="F46" s="27">
        <v>1</v>
      </c>
      <c r="G46" s="27">
        <v>0.125</v>
      </c>
      <c r="H46" s="27">
        <v>0.19</v>
      </c>
      <c r="I46" s="24"/>
      <c r="J46" s="24"/>
      <c r="K46" s="5"/>
      <c r="L46" s="29"/>
      <c r="M46" s="30"/>
    </row>
    <row r="47" spans="1:20" x14ac:dyDescent="0.35">
      <c r="A47" s="27" t="s">
        <v>34</v>
      </c>
      <c r="B47" s="27" t="s">
        <v>10</v>
      </c>
      <c r="C47" s="27">
        <v>2</v>
      </c>
      <c r="D47" s="27" t="s">
        <v>60</v>
      </c>
      <c r="E47" s="27">
        <v>106.4</v>
      </c>
      <c r="F47" s="27">
        <v>1</v>
      </c>
      <c r="G47" s="27">
        <v>0.20799999999999999</v>
      </c>
      <c r="H47" s="27">
        <v>0.437</v>
      </c>
      <c r="I47" s="24"/>
      <c r="J47" s="24"/>
      <c r="K47" s="5"/>
      <c r="M47" s="30"/>
    </row>
    <row r="48" spans="1:20" x14ac:dyDescent="0.35">
      <c r="A48" s="27" t="s">
        <v>35</v>
      </c>
      <c r="B48" s="27" t="s">
        <v>10</v>
      </c>
      <c r="C48" s="27">
        <v>2</v>
      </c>
      <c r="D48" s="27" t="s">
        <v>59</v>
      </c>
      <c r="E48" s="27">
        <v>86.9</v>
      </c>
      <c r="F48" s="27">
        <v>0.9</v>
      </c>
      <c r="G48" s="27">
        <v>0.158</v>
      </c>
      <c r="H48" s="27">
        <v>0.26600000000000001</v>
      </c>
      <c r="I48" s="24"/>
      <c r="J48" s="24"/>
      <c r="K48" s="5"/>
      <c r="L48" s="29"/>
      <c r="M48" s="30"/>
    </row>
    <row r="49" spans="1:13" x14ac:dyDescent="0.35">
      <c r="A49" s="27" t="s">
        <v>35</v>
      </c>
      <c r="B49" s="27" t="s">
        <v>10</v>
      </c>
      <c r="C49" s="27">
        <v>2</v>
      </c>
      <c r="D49" s="27" t="s">
        <v>60</v>
      </c>
      <c r="E49" s="27">
        <v>93</v>
      </c>
      <c r="F49" s="27">
        <v>1</v>
      </c>
      <c r="G49" s="27">
        <v>0.11899999999999999</v>
      </c>
      <c r="H49" s="27">
        <v>0.22900000000000001</v>
      </c>
      <c r="I49" s="24"/>
      <c r="J49" s="24"/>
      <c r="K49" s="5"/>
      <c r="M49" s="30"/>
    </row>
    <row r="50" spans="1:13" x14ac:dyDescent="0.35">
      <c r="A50" s="27" t="s">
        <v>36</v>
      </c>
      <c r="B50" s="27" t="s">
        <v>10</v>
      </c>
      <c r="C50" s="27">
        <v>2</v>
      </c>
      <c r="D50" s="27" t="s">
        <v>59</v>
      </c>
      <c r="E50" s="27">
        <v>97</v>
      </c>
      <c r="F50" s="27">
        <v>1</v>
      </c>
      <c r="G50" s="27">
        <v>0.254</v>
      </c>
      <c r="H50" s="27">
        <v>0.49299999999999999</v>
      </c>
      <c r="I50" s="24"/>
      <c r="J50" s="24"/>
      <c r="K50" s="5"/>
      <c r="L50" s="29"/>
      <c r="M50" s="30"/>
    </row>
    <row r="51" spans="1:13" x14ac:dyDescent="0.35">
      <c r="A51" s="27" t="s">
        <v>36</v>
      </c>
      <c r="B51" s="27" t="s">
        <v>10</v>
      </c>
      <c r="C51" s="27">
        <v>2</v>
      </c>
      <c r="D51" s="27" t="s">
        <v>60</v>
      </c>
      <c r="E51" s="27">
        <v>99.7</v>
      </c>
      <c r="F51" s="27">
        <v>1</v>
      </c>
      <c r="G51" s="27">
        <v>0.19600000000000001</v>
      </c>
      <c r="H51" s="27">
        <v>0.29599999999999999</v>
      </c>
      <c r="I51" s="24"/>
      <c r="J51" s="24"/>
      <c r="K51" s="5"/>
      <c r="M51" s="30"/>
    </row>
    <row r="52" spans="1:13" x14ac:dyDescent="0.35">
      <c r="A52" s="27" t="s">
        <v>37</v>
      </c>
      <c r="B52" s="27" t="s">
        <v>7</v>
      </c>
      <c r="C52" s="27">
        <v>2</v>
      </c>
      <c r="D52" s="27" t="s">
        <v>59</v>
      </c>
      <c r="E52" s="27">
        <v>106.7</v>
      </c>
      <c r="F52" s="27">
        <v>1</v>
      </c>
      <c r="G52" s="27">
        <v>0.20300000000000001</v>
      </c>
      <c r="H52" s="27">
        <v>0.13900000000000001</v>
      </c>
      <c r="I52" s="24"/>
      <c r="J52" s="24"/>
      <c r="K52" s="5"/>
      <c r="L52" s="29"/>
      <c r="M52" s="30"/>
    </row>
    <row r="53" spans="1:13" x14ac:dyDescent="0.35">
      <c r="A53" s="27" t="s">
        <v>37</v>
      </c>
      <c r="B53" s="27" t="s">
        <v>7</v>
      </c>
      <c r="C53" s="27">
        <v>2</v>
      </c>
      <c r="D53" s="27" t="s">
        <v>60</v>
      </c>
      <c r="E53" s="27">
        <v>102</v>
      </c>
      <c r="F53" s="27">
        <v>1</v>
      </c>
      <c r="G53" s="27">
        <v>0.159</v>
      </c>
      <c r="H53" s="27">
        <v>0.217</v>
      </c>
      <c r="I53" s="24"/>
      <c r="J53" s="24"/>
      <c r="K53" s="5"/>
      <c r="M53" s="30"/>
    </row>
    <row r="54" spans="1:13" x14ac:dyDescent="0.35">
      <c r="A54" s="27" t="s">
        <v>38</v>
      </c>
      <c r="B54" s="27" t="s">
        <v>7</v>
      </c>
      <c r="C54" s="27">
        <v>2</v>
      </c>
      <c r="D54" s="27" t="s">
        <v>59</v>
      </c>
      <c r="E54" s="27">
        <v>106.7</v>
      </c>
      <c r="F54" s="27">
        <v>1</v>
      </c>
      <c r="G54" s="27">
        <v>0.20399999999999999</v>
      </c>
      <c r="H54" s="27">
        <v>0.23499999999999999</v>
      </c>
      <c r="I54" s="24"/>
      <c r="J54" s="24"/>
      <c r="K54" s="5"/>
      <c r="L54" s="29"/>
      <c r="M54" s="30"/>
    </row>
    <row r="55" spans="1:13" x14ac:dyDescent="0.35">
      <c r="A55" s="27" t="s">
        <v>38</v>
      </c>
      <c r="B55" s="27" t="s">
        <v>7</v>
      </c>
      <c r="C55" s="27">
        <v>2</v>
      </c>
      <c r="D55" s="27" t="s">
        <v>60</v>
      </c>
      <c r="E55" s="27">
        <v>103.5</v>
      </c>
      <c r="F55" s="27">
        <v>1</v>
      </c>
      <c r="G55" s="27">
        <v>0.156</v>
      </c>
      <c r="H55" s="27">
        <v>0.16800000000000001</v>
      </c>
      <c r="I55" s="24"/>
      <c r="J55" s="24"/>
      <c r="K55" s="5"/>
      <c r="M55" s="30"/>
    </row>
    <row r="56" spans="1:13" x14ac:dyDescent="0.35">
      <c r="A56" s="27" t="s">
        <v>40</v>
      </c>
      <c r="B56" s="27" t="s">
        <v>7</v>
      </c>
      <c r="C56" s="27">
        <v>2</v>
      </c>
      <c r="D56" s="27" t="s">
        <v>59</v>
      </c>
      <c r="E56" s="27">
        <v>107.8</v>
      </c>
      <c r="F56" s="27">
        <v>1</v>
      </c>
      <c r="G56" s="27">
        <v>0.22</v>
      </c>
      <c r="H56" s="27">
        <v>0.25</v>
      </c>
      <c r="I56" s="24"/>
      <c r="J56" s="24"/>
      <c r="K56" s="5"/>
      <c r="L56" s="29"/>
      <c r="M56" s="30"/>
    </row>
    <row r="57" spans="1:13" x14ac:dyDescent="0.35">
      <c r="A57" s="27" t="s">
        <v>40</v>
      </c>
      <c r="B57" s="27" t="s">
        <v>7</v>
      </c>
      <c r="C57" s="27">
        <v>2</v>
      </c>
      <c r="D57" s="27" t="s">
        <v>60</v>
      </c>
      <c r="E57" s="27">
        <v>102</v>
      </c>
      <c r="F57" s="27">
        <v>1</v>
      </c>
      <c r="G57" s="27">
        <v>0.48099999999999998</v>
      </c>
      <c r="H57" s="27">
        <v>0.85899999999999999</v>
      </c>
      <c r="I57" s="24"/>
      <c r="J57" s="24"/>
      <c r="K57" s="5"/>
      <c r="M57" s="30"/>
    </row>
    <row r="58" spans="1:13" x14ac:dyDescent="0.35">
      <c r="A58" s="27" t="s">
        <v>41</v>
      </c>
      <c r="B58" s="27" t="s">
        <v>7</v>
      </c>
      <c r="C58" s="27">
        <v>2</v>
      </c>
      <c r="D58" s="27" t="s">
        <v>59</v>
      </c>
      <c r="E58" s="27">
        <v>101.8</v>
      </c>
      <c r="F58" s="27">
        <v>1</v>
      </c>
      <c r="G58" s="27">
        <v>0.16300000000000001</v>
      </c>
      <c r="H58" s="27">
        <v>0.151</v>
      </c>
      <c r="I58" s="24"/>
      <c r="J58" s="24"/>
      <c r="K58" s="5"/>
      <c r="L58" s="29"/>
      <c r="M58" s="30"/>
    </row>
    <row r="59" spans="1:13" x14ac:dyDescent="0.35">
      <c r="A59" s="27" t="s">
        <v>41</v>
      </c>
      <c r="B59" s="27" t="s">
        <v>7</v>
      </c>
      <c r="C59" s="27">
        <v>2</v>
      </c>
      <c r="D59" s="27" t="s">
        <v>60</v>
      </c>
      <c r="E59" s="27">
        <v>103.1</v>
      </c>
      <c r="F59" s="27">
        <v>1</v>
      </c>
      <c r="G59" s="27">
        <v>0.24099999999999999</v>
      </c>
      <c r="H59" s="27">
        <v>0.20399999999999999</v>
      </c>
      <c r="I59" s="24"/>
      <c r="J59" s="24"/>
      <c r="K59" s="5"/>
      <c r="M59" s="30"/>
    </row>
    <row r="60" spans="1:13" x14ac:dyDescent="0.35">
      <c r="A60" s="27" t="s">
        <v>42</v>
      </c>
      <c r="B60" s="27" t="s">
        <v>7</v>
      </c>
      <c r="C60" s="27">
        <v>2</v>
      </c>
      <c r="D60" s="27" t="s">
        <v>59</v>
      </c>
      <c r="E60" s="27">
        <v>108</v>
      </c>
      <c r="F60" s="27">
        <v>1</v>
      </c>
      <c r="G60" s="27">
        <v>0.28999999999999998</v>
      </c>
      <c r="H60" s="27">
        <v>0.41799999999999998</v>
      </c>
      <c r="I60" s="24"/>
      <c r="J60" s="24"/>
      <c r="K60" s="5"/>
      <c r="L60" s="29"/>
      <c r="M60" s="28"/>
    </row>
    <row r="61" spans="1:13" x14ac:dyDescent="0.35">
      <c r="A61" s="27" t="s">
        <v>42</v>
      </c>
      <c r="B61" s="27" t="s">
        <v>7</v>
      </c>
      <c r="C61" s="27">
        <v>2</v>
      </c>
      <c r="D61" s="27" t="s">
        <v>60</v>
      </c>
      <c r="E61" s="27">
        <v>108.6</v>
      </c>
      <c r="F61" s="27">
        <v>1</v>
      </c>
      <c r="G61" s="27">
        <v>0.16400000000000001</v>
      </c>
      <c r="H61" s="27">
        <v>0.222</v>
      </c>
      <c r="I61" s="24"/>
      <c r="J61" s="24"/>
      <c r="K61" s="5"/>
      <c r="M61" s="28"/>
    </row>
    <row r="62" spans="1:13" x14ac:dyDescent="0.35">
      <c r="A62" s="27" t="s">
        <v>43</v>
      </c>
      <c r="B62" s="27" t="s">
        <v>4</v>
      </c>
      <c r="C62" s="27">
        <v>2</v>
      </c>
      <c r="D62" s="27" t="s">
        <v>59</v>
      </c>
      <c r="E62" s="27">
        <v>102.3</v>
      </c>
      <c r="F62" s="27">
        <v>1</v>
      </c>
      <c r="G62" s="27">
        <v>0.129</v>
      </c>
      <c r="H62" s="27">
        <v>0.16900000000000001</v>
      </c>
      <c r="I62" s="24"/>
      <c r="J62" s="24"/>
      <c r="K62" s="5"/>
      <c r="L62" s="29"/>
      <c r="M62" s="30"/>
    </row>
    <row r="63" spans="1:13" x14ac:dyDescent="0.35">
      <c r="A63" s="27" t="s">
        <v>43</v>
      </c>
      <c r="B63" s="27" t="s">
        <v>4</v>
      </c>
      <c r="C63" s="27">
        <v>2</v>
      </c>
      <c r="D63" s="27" t="s">
        <v>60</v>
      </c>
      <c r="E63" s="27">
        <v>103.5</v>
      </c>
      <c r="F63" s="27">
        <v>1</v>
      </c>
      <c r="G63" s="27">
        <v>0.154</v>
      </c>
      <c r="H63" s="27">
        <v>0.221</v>
      </c>
      <c r="I63" s="24"/>
      <c r="J63" s="24"/>
      <c r="K63" s="5"/>
      <c r="M63" s="30"/>
    </row>
    <row r="64" spans="1:13" x14ac:dyDescent="0.35">
      <c r="A64" s="27" t="s">
        <v>47</v>
      </c>
      <c r="B64" s="27" t="s">
        <v>4</v>
      </c>
      <c r="C64" s="27">
        <v>2</v>
      </c>
      <c r="D64" s="27" t="s">
        <v>59</v>
      </c>
      <c r="E64" s="27">
        <v>102.2</v>
      </c>
      <c r="F64" s="27">
        <v>1</v>
      </c>
      <c r="G64" s="27">
        <v>0.22</v>
      </c>
      <c r="H64" s="27">
        <v>0.38200000000000001</v>
      </c>
      <c r="I64" s="24"/>
      <c r="J64" s="24"/>
      <c r="K64" s="5"/>
      <c r="L64" s="29"/>
      <c r="M64" s="30"/>
    </row>
    <row r="65" spans="1:13" x14ac:dyDescent="0.35">
      <c r="A65" s="27" t="s">
        <v>47</v>
      </c>
      <c r="B65" s="27" t="s">
        <v>4</v>
      </c>
      <c r="C65" s="27">
        <v>2</v>
      </c>
      <c r="D65" s="27" t="s">
        <v>60</v>
      </c>
      <c r="E65" s="27">
        <v>99.5</v>
      </c>
      <c r="F65" s="27">
        <v>1</v>
      </c>
      <c r="G65" s="27">
        <v>0.125</v>
      </c>
      <c r="H65" s="27">
        <v>0.14399999999999999</v>
      </c>
      <c r="I65" s="24"/>
      <c r="J65" s="24"/>
      <c r="K65" s="5"/>
      <c r="M65" s="30"/>
    </row>
    <row r="66" spans="1:13" x14ac:dyDescent="0.35">
      <c r="A66" s="27" t="s">
        <v>44</v>
      </c>
      <c r="B66" s="27" t="s">
        <v>4</v>
      </c>
      <c r="C66" s="27">
        <v>2</v>
      </c>
      <c r="D66" s="27" t="s">
        <v>59</v>
      </c>
      <c r="E66" s="27">
        <v>106.6</v>
      </c>
      <c r="F66" s="27">
        <v>1</v>
      </c>
      <c r="G66" s="27">
        <v>0.184</v>
      </c>
      <c r="H66" s="27">
        <v>0.28399999999999997</v>
      </c>
      <c r="I66" s="24"/>
      <c r="J66" s="24"/>
      <c r="K66" s="5"/>
      <c r="L66" s="29"/>
      <c r="M66" s="28"/>
    </row>
    <row r="67" spans="1:13" x14ac:dyDescent="0.35">
      <c r="A67" s="27" t="s">
        <v>44</v>
      </c>
      <c r="B67" s="27" t="s">
        <v>4</v>
      </c>
      <c r="C67" s="27">
        <v>2</v>
      </c>
      <c r="D67" s="27" t="s">
        <v>60</v>
      </c>
      <c r="E67" s="27">
        <v>99.9</v>
      </c>
      <c r="F67" s="27">
        <v>1</v>
      </c>
      <c r="G67" s="27">
        <v>0.13400000000000001</v>
      </c>
      <c r="H67" s="27">
        <v>0.19700000000000001</v>
      </c>
      <c r="I67" s="24"/>
      <c r="J67" s="24"/>
      <c r="K67" s="5"/>
      <c r="M67" s="28"/>
    </row>
    <row r="68" spans="1:13" x14ac:dyDescent="0.35">
      <c r="A68" s="27" t="s">
        <v>45</v>
      </c>
      <c r="B68" s="27" t="s">
        <v>4</v>
      </c>
      <c r="C68" s="27">
        <v>2</v>
      </c>
      <c r="D68" s="27" t="s">
        <v>59</v>
      </c>
      <c r="E68" s="27">
        <v>107</v>
      </c>
      <c r="F68" s="27">
        <v>1</v>
      </c>
      <c r="G68" s="27">
        <v>0.20699999999999999</v>
      </c>
      <c r="H68" s="27">
        <v>0.33400000000000002</v>
      </c>
      <c r="I68" s="24"/>
      <c r="J68" s="24"/>
      <c r="K68" s="5"/>
      <c r="L68" s="29"/>
      <c r="M68" s="30"/>
    </row>
    <row r="69" spans="1:13" x14ac:dyDescent="0.35">
      <c r="A69" s="27" t="s">
        <v>45</v>
      </c>
      <c r="B69" s="27" t="s">
        <v>4</v>
      </c>
      <c r="C69" s="27">
        <v>2</v>
      </c>
      <c r="D69" s="27" t="s">
        <v>60</v>
      </c>
      <c r="E69" s="27">
        <v>106.6</v>
      </c>
      <c r="F69" s="27">
        <v>1</v>
      </c>
      <c r="G69" s="27">
        <v>0.155</v>
      </c>
      <c r="H69" s="27">
        <v>0.23300000000000001</v>
      </c>
      <c r="I69" s="24"/>
      <c r="J69" s="24"/>
      <c r="K69" s="5"/>
      <c r="M69" s="30"/>
    </row>
    <row r="70" spans="1:13" x14ac:dyDescent="0.35">
      <c r="A70" s="27" t="s">
        <v>46</v>
      </c>
      <c r="B70" s="27" t="s">
        <v>4</v>
      </c>
      <c r="C70" s="27">
        <v>2</v>
      </c>
      <c r="D70" s="27" t="s">
        <v>59</v>
      </c>
      <c r="E70" s="27">
        <v>96.2</v>
      </c>
      <c r="F70" s="27">
        <v>1</v>
      </c>
      <c r="G70" s="27">
        <v>0.17399999999999999</v>
      </c>
      <c r="H70" s="27">
        <v>0.17199999999999999</v>
      </c>
      <c r="I70" s="24"/>
      <c r="J70" s="24"/>
      <c r="K70" s="5"/>
      <c r="L70" s="29"/>
      <c r="M70" s="28"/>
    </row>
    <row r="71" spans="1:13" x14ac:dyDescent="0.35">
      <c r="A71" s="27" t="s">
        <v>46</v>
      </c>
      <c r="B71" s="27" t="s">
        <v>4</v>
      </c>
      <c r="C71" s="27">
        <v>2</v>
      </c>
      <c r="D71" s="27" t="s">
        <v>60</v>
      </c>
      <c r="E71" s="27">
        <v>101.7</v>
      </c>
      <c r="F71" s="27">
        <v>1</v>
      </c>
      <c r="G71" s="27">
        <v>0.14199999999999999</v>
      </c>
      <c r="H71" s="27">
        <v>0.16</v>
      </c>
      <c r="I71" s="24"/>
      <c r="J71" s="24"/>
      <c r="K71" s="5"/>
      <c r="M71" s="28"/>
    </row>
    <row r="72" spans="1:13" x14ac:dyDescent="0.35">
      <c r="A72" s="27" t="s">
        <v>48</v>
      </c>
      <c r="B72" s="27" t="s">
        <v>3</v>
      </c>
      <c r="C72" s="27">
        <v>2</v>
      </c>
      <c r="D72" s="27" t="s">
        <v>59</v>
      </c>
      <c r="E72" s="27">
        <v>103.1</v>
      </c>
      <c r="F72" s="27">
        <v>1</v>
      </c>
      <c r="G72" s="27">
        <v>0.20899999999999999</v>
      </c>
      <c r="H72" s="27">
        <v>0.23</v>
      </c>
      <c r="I72" s="24"/>
      <c r="J72" s="24"/>
      <c r="K72" s="5"/>
      <c r="L72" s="29"/>
      <c r="M72" s="30"/>
    </row>
    <row r="73" spans="1:13" x14ac:dyDescent="0.35">
      <c r="A73" s="27" t="s">
        <v>48</v>
      </c>
      <c r="B73" s="27" t="s">
        <v>3</v>
      </c>
      <c r="C73" s="27">
        <v>2</v>
      </c>
      <c r="D73" s="27" t="s">
        <v>60</v>
      </c>
      <c r="E73" s="27">
        <v>108.8</v>
      </c>
      <c r="F73" s="27">
        <v>1</v>
      </c>
      <c r="G73" s="27">
        <v>0.14899999999999999</v>
      </c>
      <c r="H73" s="27">
        <v>0.13</v>
      </c>
      <c r="I73" s="24"/>
      <c r="J73" s="24"/>
      <c r="K73" s="5"/>
      <c r="M73" s="30"/>
    </row>
    <row r="74" spans="1:13" x14ac:dyDescent="0.35">
      <c r="A74" s="27" t="s">
        <v>49</v>
      </c>
      <c r="B74" s="27" t="s">
        <v>3</v>
      </c>
      <c r="C74" s="27">
        <v>2</v>
      </c>
      <c r="D74" s="27" t="s">
        <v>59</v>
      </c>
      <c r="E74" s="27">
        <v>108.3</v>
      </c>
      <c r="F74" s="27">
        <v>1</v>
      </c>
      <c r="G74" s="27">
        <v>0.122</v>
      </c>
      <c r="H74" s="27">
        <v>0.105</v>
      </c>
      <c r="I74" s="24"/>
      <c r="J74" s="24"/>
      <c r="K74" s="5"/>
      <c r="L74" s="29"/>
      <c r="M74" s="30"/>
    </row>
    <row r="75" spans="1:13" x14ac:dyDescent="0.35">
      <c r="A75" s="27" t="s">
        <v>49</v>
      </c>
      <c r="B75" s="27" t="s">
        <v>3</v>
      </c>
      <c r="C75" s="27">
        <v>2</v>
      </c>
      <c r="D75" s="27" t="s">
        <v>60</v>
      </c>
      <c r="E75" s="27">
        <v>104.6</v>
      </c>
      <c r="F75" s="27">
        <v>1</v>
      </c>
      <c r="G75" s="27">
        <v>0.115</v>
      </c>
      <c r="H75" s="27">
        <v>0.11799999999999999</v>
      </c>
      <c r="I75" s="24"/>
      <c r="J75" s="24"/>
      <c r="K75" s="5"/>
      <c r="M75" s="30"/>
    </row>
    <row r="76" spans="1:13" x14ac:dyDescent="0.35">
      <c r="A76" s="27" t="s">
        <v>50</v>
      </c>
      <c r="B76" s="27" t="s">
        <v>3</v>
      </c>
      <c r="C76" s="27">
        <v>2</v>
      </c>
      <c r="D76" s="27" t="s">
        <v>59</v>
      </c>
      <c r="E76" s="27">
        <v>102.7</v>
      </c>
      <c r="F76" s="27">
        <v>1</v>
      </c>
      <c r="G76" s="27">
        <v>0.16600000000000001</v>
      </c>
      <c r="H76" s="27">
        <v>0.19800000000000001</v>
      </c>
      <c r="I76" s="24"/>
      <c r="J76" s="24"/>
      <c r="K76" s="5"/>
      <c r="L76" s="29"/>
      <c r="M76" s="30"/>
    </row>
    <row r="77" spans="1:13" x14ac:dyDescent="0.35">
      <c r="A77" s="27" t="s">
        <v>50</v>
      </c>
      <c r="B77" s="27" t="s">
        <v>3</v>
      </c>
      <c r="C77" s="27">
        <v>2</v>
      </c>
      <c r="D77" s="27" t="s">
        <v>60</v>
      </c>
      <c r="E77" s="27">
        <v>108.4</v>
      </c>
      <c r="F77" s="27">
        <v>1</v>
      </c>
      <c r="G77" s="27">
        <v>0.17499999999999999</v>
      </c>
      <c r="H77" s="27">
        <v>0.20100000000000001</v>
      </c>
      <c r="I77" s="24"/>
      <c r="J77" s="24"/>
      <c r="K77" s="5"/>
      <c r="M77" s="30"/>
    </row>
    <row r="78" spans="1:13" x14ac:dyDescent="0.35">
      <c r="A78" s="27" t="s">
        <v>51</v>
      </c>
      <c r="B78" s="27" t="s">
        <v>3</v>
      </c>
      <c r="C78" s="27">
        <v>2</v>
      </c>
      <c r="D78" s="27" t="s">
        <v>59</v>
      </c>
      <c r="E78" s="27">
        <v>109.4</v>
      </c>
      <c r="F78" s="27">
        <v>1</v>
      </c>
      <c r="G78" s="27">
        <v>0.2</v>
      </c>
      <c r="H78" s="27">
        <v>0.27700000000000002</v>
      </c>
      <c r="I78" s="24"/>
      <c r="J78" s="24"/>
      <c r="K78" s="5"/>
      <c r="L78" s="29"/>
      <c r="M78" s="30"/>
    </row>
    <row r="79" spans="1:13" x14ac:dyDescent="0.35">
      <c r="A79" s="27" t="s">
        <v>51</v>
      </c>
      <c r="B79" s="27" t="s">
        <v>3</v>
      </c>
      <c r="C79" s="27">
        <v>2</v>
      </c>
      <c r="D79" s="27" t="s">
        <v>60</v>
      </c>
      <c r="E79" s="27">
        <v>103.6</v>
      </c>
      <c r="F79" s="27">
        <v>1</v>
      </c>
      <c r="G79" s="27">
        <v>0.17699999999999999</v>
      </c>
      <c r="H79" s="27">
        <v>0.252</v>
      </c>
      <c r="I79" s="24"/>
      <c r="J79" s="24"/>
      <c r="K79" s="5"/>
      <c r="M79" s="30"/>
    </row>
    <row r="80" spans="1:13" x14ac:dyDescent="0.35">
      <c r="A80" s="27" t="s">
        <v>52</v>
      </c>
      <c r="B80" s="27" t="s">
        <v>3</v>
      </c>
      <c r="C80" s="27">
        <v>2</v>
      </c>
      <c r="D80" s="27" t="s">
        <v>59</v>
      </c>
      <c r="E80" s="27">
        <v>102.6</v>
      </c>
      <c r="F80" s="27">
        <v>1</v>
      </c>
      <c r="G80" s="27">
        <v>8.5000000000000006E-2</v>
      </c>
      <c r="H80" s="27">
        <v>6.6000000000000003E-2</v>
      </c>
      <c r="I80" s="24"/>
      <c r="J80" s="24"/>
      <c r="K80" s="5"/>
      <c r="L80" s="29"/>
      <c r="M80" s="28"/>
    </row>
    <row r="81" spans="1:13" x14ac:dyDescent="0.35">
      <c r="A81" s="27" t="s">
        <v>52</v>
      </c>
      <c r="B81" s="27" t="s">
        <v>3</v>
      </c>
      <c r="C81" s="27">
        <v>2</v>
      </c>
      <c r="D81" s="27" t="s">
        <v>60</v>
      </c>
      <c r="E81" s="27">
        <v>104.2</v>
      </c>
      <c r="F81" s="27">
        <v>1</v>
      </c>
      <c r="G81" s="27">
        <v>0.13700000000000001</v>
      </c>
      <c r="H81" s="27">
        <v>0.14599999999999999</v>
      </c>
      <c r="I81" s="24"/>
      <c r="J81" s="24"/>
      <c r="K81" s="5"/>
      <c r="M81" s="28"/>
    </row>
  </sheetData>
  <sortState xmlns:xlrd2="http://schemas.microsoft.com/office/spreadsheetml/2017/richdata2" ref="A2:J41">
    <sortCondition ref="A2:A41" customList="C1,C2,C3,C4,C5,O1,O2,O3,O4,O5,S1,S2,S7,S3,S4,S5,I1,I2,I3,I4,I5"/>
  </sortState>
  <mergeCells count="128">
    <mergeCell ref="L2:L3"/>
    <mergeCell ref="M2:M3"/>
    <mergeCell ref="L4:L5"/>
    <mergeCell ref="M4:M5"/>
    <mergeCell ref="L6:L7"/>
    <mergeCell ref="M6:M7"/>
    <mergeCell ref="L14:L15"/>
    <mergeCell ref="M14:M15"/>
    <mergeCell ref="L16:L17"/>
    <mergeCell ref="M16:M17"/>
    <mergeCell ref="L18:L19"/>
    <mergeCell ref="M18:M19"/>
    <mergeCell ref="L8:L9"/>
    <mergeCell ref="M8:M9"/>
    <mergeCell ref="L10:L11"/>
    <mergeCell ref="M10:M11"/>
    <mergeCell ref="L12:L13"/>
    <mergeCell ref="M12:M13"/>
    <mergeCell ref="L26:L27"/>
    <mergeCell ref="M26:M27"/>
    <mergeCell ref="L28:L29"/>
    <mergeCell ref="M28:M29"/>
    <mergeCell ref="L30:L31"/>
    <mergeCell ref="M30:M31"/>
    <mergeCell ref="L20:L21"/>
    <mergeCell ref="M20:M21"/>
    <mergeCell ref="L22:L23"/>
    <mergeCell ref="M22:M23"/>
    <mergeCell ref="L24:L25"/>
    <mergeCell ref="M24:M25"/>
    <mergeCell ref="L38:L39"/>
    <mergeCell ref="M38:M39"/>
    <mergeCell ref="L40:L41"/>
    <mergeCell ref="M40:M41"/>
    <mergeCell ref="L32:L33"/>
    <mergeCell ref="M32:M33"/>
    <mergeCell ref="L34:L35"/>
    <mergeCell ref="M34:M35"/>
    <mergeCell ref="L36:L37"/>
    <mergeCell ref="M36:M37"/>
    <mergeCell ref="O10:O11"/>
    <mergeCell ref="P10:P11"/>
    <mergeCell ref="O12:O13"/>
    <mergeCell ref="P12:P13"/>
    <mergeCell ref="O14:O15"/>
    <mergeCell ref="P14:P15"/>
    <mergeCell ref="O2:O3"/>
    <mergeCell ref="P2:P3"/>
    <mergeCell ref="O4:O5"/>
    <mergeCell ref="P4:P5"/>
    <mergeCell ref="O6:O7"/>
    <mergeCell ref="P6:P7"/>
    <mergeCell ref="O8:O9"/>
    <mergeCell ref="P8:P9"/>
    <mergeCell ref="Q2:Q3"/>
    <mergeCell ref="Q4:Q5"/>
    <mergeCell ref="Q6:Q7"/>
    <mergeCell ref="Q8:Q9"/>
    <mergeCell ref="Q10:Q11"/>
    <mergeCell ref="Q12:Q13"/>
    <mergeCell ref="Q14:Q15"/>
    <mergeCell ref="Q16:Q17"/>
    <mergeCell ref="O34:O35"/>
    <mergeCell ref="P34:P35"/>
    <mergeCell ref="O28:O29"/>
    <mergeCell ref="P28:P29"/>
    <mergeCell ref="O30:O31"/>
    <mergeCell ref="P30:P31"/>
    <mergeCell ref="O32:O33"/>
    <mergeCell ref="P32:P33"/>
    <mergeCell ref="O22:O23"/>
    <mergeCell ref="P22:P23"/>
    <mergeCell ref="O24:O25"/>
    <mergeCell ref="P24:P25"/>
    <mergeCell ref="O26:O27"/>
    <mergeCell ref="P26:P27"/>
    <mergeCell ref="O16:O17"/>
    <mergeCell ref="P16:P17"/>
    <mergeCell ref="Q40:Q41"/>
    <mergeCell ref="Q18:Q19"/>
    <mergeCell ref="Q20:Q21"/>
    <mergeCell ref="Q22:Q23"/>
    <mergeCell ref="Q24:Q25"/>
    <mergeCell ref="Q26:Q27"/>
    <mergeCell ref="Q28:Q29"/>
    <mergeCell ref="O40:O41"/>
    <mergeCell ref="P40:P41"/>
    <mergeCell ref="O36:O37"/>
    <mergeCell ref="P36:P37"/>
    <mergeCell ref="O38:O39"/>
    <mergeCell ref="P38:P39"/>
    <mergeCell ref="O18:O19"/>
    <mergeCell ref="P18:P19"/>
    <mergeCell ref="O20:O21"/>
    <mergeCell ref="P20:P21"/>
    <mergeCell ref="R6:R7"/>
    <mergeCell ref="R8:R9"/>
    <mergeCell ref="R10:R11"/>
    <mergeCell ref="R12:R13"/>
    <mergeCell ref="Q30:Q31"/>
    <mergeCell ref="Q32:Q33"/>
    <mergeCell ref="Q34:Q35"/>
    <mergeCell ref="Q36:Q37"/>
    <mergeCell ref="Q38:Q39"/>
    <mergeCell ref="R38:R39"/>
    <mergeCell ref="R40:R41"/>
    <mergeCell ref="S2:S11"/>
    <mergeCell ref="T2:T11"/>
    <mergeCell ref="S12:S21"/>
    <mergeCell ref="T12:T21"/>
    <mergeCell ref="S22:S31"/>
    <mergeCell ref="T22:T31"/>
    <mergeCell ref="S32:S41"/>
    <mergeCell ref="T32:T41"/>
    <mergeCell ref="R26:R27"/>
    <mergeCell ref="R28:R29"/>
    <mergeCell ref="R30:R31"/>
    <mergeCell ref="R32:R33"/>
    <mergeCell ref="R34:R35"/>
    <mergeCell ref="R36:R37"/>
    <mergeCell ref="R14:R15"/>
    <mergeCell ref="R16:R17"/>
    <mergeCell ref="R18:R19"/>
    <mergeCell ref="R20:R21"/>
    <mergeCell ref="R22:R23"/>
    <mergeCell ref="R24:R25"/>
    <mergeCell ref="R2:R3"/>
    <mergeCell ref="R4:R5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80DB6-3E30-40EF-BF18-C12BE3EB45CB}">
  <dimension ref="A1:W50"/>
  <sheetViews>
    <sheetView topLeftCell="A10" zoomScale="70" zoomScaleNormal="70" workbookViewId="0">
      <selection activeCell="I21" sqref="I21:I30"/>
    </sheetView>
  </sheetViews>
  <sheetFormatPr baseColWidth="10" defaultRowHeight="14.5" x14ac:dyDescent="0.35"/>
  <cols>
    <col min="1" max="1" width="10.90625" style="8"/>
    <col min="2" max="2" width="13.81640625" style="8" bestFit="1" customWidth="1"/>
    <col min="3" max="3" width="11.54296875" style="8" bestFit="1" customWidth="1"/>
    <col min="4" max="7" width="10.90625" style="8"/>
    <col min="8" max="8" width="13.90625" style="8" bestFit="1" customWidth="1"/>
    <col min="9" max="9" width="15.08984375" style="8" bestFit="1" customWidth="1"/>
    <col min="10" max="11" width="12.6328125" style="8" customWidth="1"/>
    <col min="12" max="14" width="10.90625" style="8"/>
    <col min="15" max="15" width="11" style="8" bestFit="1" customWidth="1"/>
    <col min="16" max="16" width="13.26953125" style="8" customWidth="1"/>
    <col min="17" max="17" width="13.90625" style="8" bestFit="1" customWidth="1"/>
    <col min="18" max="18" width="15.1796875" style="8" bestFit="1" customWidth="1"/>
    <col min="19" max="19" width="11.81640625" style="8" customWidth="1"/>
    <col min="20" max="20" width="10.90625" style="8"/>
    <col min="21" max="21" width="12.7265625" style="8" bestFit="1" customWidth="1"/>
    <col min="22" max="16384" width="10.90625" style="8"/>
  </cols>
  <sheetData>
    <row r="1" spans="1:23" x14ac:dyDescent="0.35">
      <c r="B1" s="14"/>
      <c r="C1" s="46" t="s">
        <v>71</v>
      </c>
      <c r="D1" s="46"/>
      <c r="E1" s="46"/>
      <c r="F1" s="46"/>
      <c r="G1" s="46"/>
      <c r="H1" s="46"/>
      <c r="I1" s="46"/>
      <c r="J1" s="46"/>
      <c r="K1" s="44" t="s">
        <v>72</v>
      </c>
      <c r="L1" s="44"/>
      <c r="M1" s="44"/>
      <c r="N1" s="44"/>
      <c r="O1" s="44"/>
      <c r="P1" s="44"/>
      <c r="Q1" s="44"/>
      <c r="R1" s="44"/>
      <c r="S1" s="44"/>
    </row>
    <row r="2" spans="1:23" x14ac:dyDescent="0.35">
      <c r="A2" s="9" t="s">
        <v>0</v>
      </c>
      <c r="B2" s="6" t="s">
        <v>88</v>
      </c>
      <c r="C2" s="10" t="s">
        <v>73</v>
      </c>
      <c r="D2" s="10" t="s">
        <v>74</v>
      </c>
      <c r="E2" s="10" t="s">
        <v>78</v>
      </c>
      <c r="F2" s="10" t="s">
        <v>75</v>
      </c>
      <c r="G2" s="10" t="s">
        <v>76</v>
      </c>
      <c r="H2" s="12" t="s">
        <v>89</v>
      </c>
      <c r="I2" s="15" t="s">
        <v>77</v>
      </c>
      <c r="J2" s="15" t="s">
        <v>78</v>
      </c>
      <c r="K2" s="6" t="s">
        <v>88</v>
      </c>
      <c r="L2" s="10" t="s">
        <v>73</v>
      </c>
      <c r="M2" s="10" t="s">
        <v>74</v>
      </c>
      <c r="N2" s="10" t="s">
        <v>78</v>
      </c>
      <c r="O2" s="10" t="s">
        <v>75</v>
      </c>
      <c r="P2" s="10" t="s">
        <v>76</v>
      </c>
      <c r="Q2" s="6" t="s">
        <v>89</v>
      </c>
      <c r="R2" s="15" t="s">
        <v>77</v>
      </c>
      <c r="S2" s="15" t="s">
        <v>78</v>
      </c>
    </row>
    <row r="3" spans="1:23" x14ac:dyDescent="0.35">
      <c r="A3" s="8">
        <v>1</v>
      </c>
      <c r="B3" s="38">
        <v>8.6940000000000008</v>
      </c>
      <c r="C3" s="8">
        <v>-10.896000000000001</v>
      </c>
      <c r="D3" s="38">
        <f>AVERAGE(C3:C6)</f>
        <v>-11.659500000000001</v>
      </c>
      <c r="E3" s="39">
        <f>(_xlfn.STDEV.S(C3:C6)/SQRT(4))/-D3</f>
        <v>3.527962788613908E-2</v>
      </c>
      <c r="F3" s="45">
        <f>D3/1000</f>
        <v>-1.1659500000000001E-2</v>
      </c>
      <c r="G3" s="45">
        <f>-(F3*$V$7*$V$8)/($V$9*$V$10*$V$11*10^-3)</f>
        <v>157.10965133906018</v>
      </c>
      <c r="H3" s="45">
        <f>G3/B3</f>
        <v>18.071043402238345</v>
      </c>
      <c r="I3" s="45">
        <f>AVERAGE(H3:H20)</f>
        <v>25.622510613293674</v>
      </c>
      <c r="J3" s="39">
        <f>(_xlfn.STDEV.S(H3:H20)/SQRT(5))/I3</f>
        <v>0.10415141972490824</v>
      </c>
      <c r="K3" s="38">
        <v>4.3395000000000001</v>
      </c>
      <c r="L3" s="8">
        <v>-35.277000000000001</v>
      </c>
      <c r="M3" s="38">
        <f>AVERAGE(L3:L4)</f>
        <v>-31.945999999999998</v>
      </c>
      <c r="N3" s="39">
        <f>(_xlfn.STDEV.S(L3:L4)/SQRT(2))/-M3</f>
        <v>0.10426970512740237</v>
      </c>
      <c r="O3" s="45">
        <f>M3/1000</f>
        <v>-3.1945999999999995E-2</v>
      </c>
      <c r="P3" s="45">
        <f>-(O3*$V$7*$V$8)/($V$9*$V$10*$V$11*10^-3)</f>
        <v>430.46656560552469</v>
      </c>
      <c r="Q3" s="45">
        <f>P3/K3</f>
        <v>99.197272866810621</v>
      </c>
      <c r="R3" s="45">
        <f>AVERAGE(Q3:Q20)</f>
        <v>71.93215431645757</v>
      </c>
      <c r="S3" s="39">
        <f>(_xlfn.STDEV.S(Q3:Q20)/SQRT(5))/R3</f>
        <v>0.11840244810032199</v>
      </c>
    </row>
    <row r="4" spans="1:23" x14ac:dyDescent="0.35">
      <c r="A4" s="8">
        <v>1</v>
      </c>
      <c r="B4" s="38"/>
      <c r="C4" s="8">
        <v>-12.378</v>
      </c>
      <c r="D4" s="38"/>
      <c r="E4" s="39"/>
      <c r="F4" s="45"/>
      <c r="G4" s="45"/>
      <c r="H4" s="45"/>
      <c r="I4" s="45"/>
      <c r="J4" s="39"/>
      <c r="K4" s="38"/>
      <c r="L4" s="8">
        <v>-28.614999999999998</v>
      </c>
      <c r="M4" s="38"/>
      <c r="N4" s="39"/>
      <c r="O4" s="45"/>
      <c r="P4" s="45"/>
      <c r="Q4" s="45"/>
      <c r="R4" s="45"/>
      <c r="S4" s="39"/>
    </row>
    <row r="5" spans="1:23" x14ac:dyDescent="0.35">
      <c r="A5" s="8">
        <v>1</v>
      </c>
      <c r="B5" s="38"/>
      <c r="C5" s="8">
        <v>-11</v>
      </c>
      <c r="D5" s="38"/>
      <c r="E5" s="39"/>
      <c r="F5" s="45"/>
      <c r="G5" s="45"/>
      <c r="H5" s="45"/>
      <c r="I5" s="45"/>
      <c r="J5" s="39"/>
      <c r="K5" s="38"/>
      <c r="L5" s="16"/>
      <c r="M5" s="16"/>
      <c r="N5" s="47"/>
      <c r="O5" s="45"/>
      <c r="P5" s="45"/>
      <c r="Q5" s="45"/>
      <c r="R5" s="45"/>
      <c r="S5" s="39"/>
    </row>
    <row r="6" spans="1:23" x14ac:dyDescent="0.35">
      <c r="A6" s="8">
        <v>1</v>
      </c>
      <c r="B6" s="38"/>
      <c r="C6" s="8">
        <v>-12.364000000000001</v>
      </c>
      <c r="D6" s="38"/>
      <c r="E6" s="39"/>
      <c r="F6" s="45"/>
      <c r="G6" s="45"/>
      <c r="H6" s="45"/>
      <c r="I6" s="45"/>
      <c r="J6" s="39"/>
      <c r="K6" s="38"/>
      <c r="L6" s="16"/>
      <c r="M6" s="16"/>
      <c r="N6" s="47"/>
      <c r="O6" s="45"/>
      <c r="P6" s="45"/>
      <c r="Q6" s="45"/>
      <c r="R6" s="45"/>
      <c r="S6" s="39"/>
    </row>
    <row r="7" spans="1:23" x14ac:dyDescent="0.35">
      <c r="A7" s="8">
        <v>2</v>
      </c>
      <c r="B7" s="38">
        <v>8.4495000000000005</v>
      </c>
      <c r="C7" s="8">
        <v>-12.462</v>
      </c>
      <c r="D7" s="38">
        <f t="shared" ref="D7" si="0">AVERAGE(C7:C10)</f>
        <v>-14.028</v>
      </c>
      <c r="E7" s="39">
        <f t="shared" ref="E7" si="1">(_xlfn.STDEV.S(C7:C10)/SQRT(4))/-D7</f>
        <v>6.6368190674743033E-2</v>
      </c>
      <c r="F7" s="45">
        <f t="shared" ref="F7" si="2">D7/1000</f>
        <v>-1.4028000000000001E-2</v>
      </c>
      <c r="G7" s="45">
        <f>-(F7*$V$7*$V$8)/($V$9*$V$10*$V$11*10^-3)</f>
        <v>189.0247599797878</v>
      </c>
      <c r="H7" s="45">
        <f t="shared" ref="H7" si="3">G7/B7</f>
        <v>22.371117815230225</v>
      </c>
      <c r="I7" s="45"/>
      <c r="J7" s="39"/>
      <c r="K7" s="38">
        <v>4.6935000000000002</v>
      </c>
      <c r="L7" s="8">
        <v>-26.978000000000002</v>
      </c>
      <c r="M7" s="38">
        <f>AVERAGE(L7:L8)</f>
        <v>-25.549500000000002</v>
      </c>
      <c r="N7" s="39">
        <f>(_xlfn.STDEV.S(L7:L8)/SQRT(2))/-M7</f>
        <v>5.5911074580715918E-2</v>
      </c>
      <c r="O7" s="45">
        <f t="shared" ref="O7" si="4">M7/1000</f>
        <v>-2.5549500000000003E-2</v>
      </c>
      <c r="P7" s="45">
        <f>-(O7*$V$7*$V$8)/($V$9*$V$10*$V$11*10^-3)</f>
        <v>344.27488630621531</v>
      </c>
      <c r="Q7" s="45">
        <f>P7/K7</f>
        <v>73.351419262003901</v>
      </c>
      <c r="R7" s="45"/>
      <c r="S7" s="39"/>
      <c r="U7" s="17" t="s">
        <v>79</v>
      </c>
      <c r="V7" s="8">
        <v>0.2</v>
      </c>
      <c r="W7" s="8" t="s">
        <v>80</v>
      </c>
    </row>
    <row r="8" spans="1:23" x14ac:dyDescent="0.35">
      <c r="A8" s="8">
        <v>2</v>
      </c>
      <c r="B8" s="38"/>
      <c r="C8" s="8">
        <v>-16.224</v>
      </c>
      <c r="D8" s="38"/>
      <c r="E8" s="39"/>
      <c r="F8" s="45"/>
      <c r="G8" s="45"/>
      <c r="H8" s="45"/>
      <c r="I8" s="45"/>
      <c r="J8" s="39"/>
      <c r="K8" s="38"/>
      <c r="L8" s="8">
        <v>-24.120999999999999</v>
      </c>
      <c r="M8" s="38"/>
      <c r="N8" s="39"/>
      <c r="O8" s="45"/>
      <c r="P8" s="45"/>
      <c r="Q8" s="45"/>
      <c r="R8" s="45"/>
      <c r="S8" s="39"/>
      <c r="U8" s="8" t="s">
        <v>81</v>
      </c>
      <c r="V8" s="8">
        <v>16</v>
      </c>
    </row>
    <row r="9" spans="1:23" ht="16.5" x14ac:dyDescent="0.35">
      <c r="A9" s="8">
        <v>2</v>
      </c>
      <c r="B9" s="38"/>
      <c r="C9" s="8">
        <v>-12.503</v>
      </c>
      <c r="D9" s="38"/>
      <c r="E9" s="39"/>
      <c r="F9" s="45"/>
      <c r="G9" s="45"/>
      <c r="H9" s="45"/>
      <c r="I9" s="45"/>
      <c r="J9" s="39"/>
      <c r="K9" s="38"/>
      <c r="L9" s="16"/>
      <c r="M9" s="16"/>
      <c r="N9" s="47"/>
      <c r="O9" s="45"/>
      <c r="P9" s="45"/>
      <c r="Q9" s="45"/>
      <c r="R9" s="45"/>
      <c r="S9" s="39"/>
      <c r="U9" s="17" t="s">
        <v>84</v>
      </c>
      <c r="V9" s="8">
        <v>39.58</v>
      </c>
      <c r="W9" s="8" t="s">
        <v>86</v>
      </c>
    </row>
    <row r="10" spans="1:23" x14ac:dyDescent="0.35">
      <c r="A10" s="8">
        <v>2</v>
      </c>
      <c r="B10" s="38"/>
      <c r="C10" s="8">
        <v>-14.923</v>
      </c>
      <c r="D10" s="38"/>
      <c r="E10" s="39"/>
      <c r="F10" s="45"/>
      <c r="G10" s="45"/>
      <c r="H10" s="45"/>
      <c r="I10" s="45"/>
      <c r="J10" s="39"/>
      <c r="K10" s="38"/>
      <c r="L10" s="16"/>
      <c r="M10" s="16"/>
      <c r="N10" s="47"/>
      <c r="O10" s="45"/>
      <c r="P10" s="45"/>
      <c r="Q10" s="45"/>
      <c r="R10" s="45"/>
      <c r="S10" s="39"/>
      <c r="U10" s="17" t="s">
        <v>82</v>
      </c>
      <c r="V10" s="8">
        <v>0.01</v>
      </c>
      <c r="W10" s="8" t="s">
        <v>80</v>
      </c>
    </row>
    <row r="11" spans="1:23" x14ac:dyDescent="0.35">
      <c r="A11" s="8">
        <v>3</v>
      </c>
      <c r="B11" s="38">
        <v>7.6635</v>
      </c>
      <c r="C11" s="8">
        <v>-20.603999999999999</v>
      </c>
      <c r="D11" s="38">
        <f t="shared" ref="D11" si="5">AVERAGE(C11:C14)</f>
        <v>-18.505749999999999</v>
      </c>
      <c r="E11" s="39">
        <f t="shared" ref="E11" si="6">(_xlfn.STDEV.S(C11:C14)/SQRT(4))/-D11</f>
        <v>6.7046151651744143E-2</v>
      </c>
      <c r="F11" s="45">
        <f t="shared" ref="F11" si="7">D11/1000</f>
        <v>-1.8505749999999998E-2</v>
      </c>
      <c r="G11" s="45">
        <f>-(F11*$V$7*$V$8)/($V$9*$V$10*$V$11*10^-3)</f>
        <v>249.36163045309078</v>
      </c>
      <c r="H11" s="45">
        <f t="shared" ref="H11" si="8">G11/B11</f>
        <v>32.538870027153493</v>
      </c>
      <c r="I11" s="45"/>
      <c r="J11" s="39"/>
      <c r="K11" s="38">
        <v>5.0489999999999995</v>
      </c>
      <c r="L11" s="8">
        <v>-21.189</v>
      </c>
      <c r="M11" s="38">
        <f>AVERAGE(L11:L12)</f>
        <v>-20.853000000000002</v>
      </c>
      <c r="N11" s="39">
        <f>(_xlfn.STDEV.S(L11:L12)/SQRT(2))/-M11</f>
        <v>1.6112789526686822E-2</v>
      </c>
      <c r="O11" s="45">
        <f t="shared" ref="O11" si="9">M11/1000</f>
        <v>-2.0853E-2</v>
      </c>
      <c r="P11" s="45">
        <f>-(O11*$V$7*$V$8)/($V$9*$V$10*$V$11*10^-3)</f>
        <v>280.9903991915109</v>
      </c>
      <c r="Q11" s="45">
        <f>P11/K11</f>
        <v>55.652683539613967</v>
      </c>
      <c r="R11" s="45"/>
      <c r="S11" s="39"/>
      <c r="U11" s="17" t="s">
        <v>83</v>
      </c>
      <c r="V11" s="8">
        <v>0.6</v>
      </c>
      <c r="W11" s="8" t="s">
        <v>87</v>
      </c>
    </row>
    <row r="12" spans="1:23" x14ac:dyDescent="0.35">
      <c r="A12" s="8">
        <v>3</v>
      </c>
      <c r="B12" s="38"/>
      <c r="C12" s="8">
        <v>-20.440000000000001</v>
      </c>
      <c r="D12" s="38"/>
      <c r="E12" s="39"/>
      <c r="F12" s="45"/>
      <c r="G12" s="45"/>
      <c r="H12" s="45"/>
      <c r="I12" s="45"/>
      <c r="J12" s="39"/>
      <c r="K12" s="38"/>
      <c r="L12" s="8">
        <v>-20.516999999999999</v>
      </c>
      <c r="M12" s="38"/>
      <c r="N12" s="39"/>
      <c r="O12" s="45"/>
      <c r="P12" s="45"/>
      <c r="Q12" s="45"/>
      <c r="R12" s="45"/>
      <c r="S12" s="39"/>
      <c r="U12" s="17" t="s">
        <v>85</v>
      </c>
    </row>
    <row r="13" spans="1:23" x14ac:dyDescent="0.35">
      <c r="A13" s="8">
        <v>3</v>
      </c>
      <c r="B13" s="38"/>
      <c r="C13" s="8">
        <v>-15.441000000000001</v>
      </c>
      <c r="D13" s="38"/>
      <c r="E13" s="39"/>
      <c r="F13" s="45"/>
      <c r="G13" s="45"/>
      <c r="H13" s="45"/>
      <c r="I13" s="45"/>
      <c r="J13" s="39"/>
      <c r="K13" s="38"/>
      <c r="L13" s="16"/>
      <c r="M13" s="16"/>
      <c r="N13" s="47"/>
      <c r="O13" s="45"/>
      <c r="P13" s="45"/>
      <c r="Q13" s="45"/>
      <c r="R13" s="45"/>
      <c r="S13" s="39"/>
    </row>
    <row r="14" spans="1:23" x14ac:dyDescent="0.35">
      <c r="A14" s="8">
        <v>3</v>
      </c>
      <c r="B14" s="38"/>
      <c r="C14" s="8">
        <v>-17.538</v>
      </c>
      <c r="D14" s="38"/>
      <c r="E14" s="39"/>
      <c r="F14" s="45"/>
      <c r="G14" s="45"/>
      <c r="H14" s="45"/>
      <c r="I14" s="45"/>
      <c r="J14" s="39"/>
      <c r="K14" s="38"/>
      <c r="L14" s="16"/>
      <c r="M14" s="16"/>
      <c r="N14" s="47"/>
      <c r="O14" s="45"/>
      <c r="P14" s="45"/>
      <c r="Q14" s="45"/>
      <c r="R14" s="45"/>
      <c r="S14" s="39"/>
    </row>
    <row r="15" spans="1:23" x14ac:dyDescent="0.35">
      <c r="A15" s="8">
        <v>4</v>
      </c>
      <c r="B15" s="38">
        <v>7.8285</v>
      </c>
      <c r="C15" s="8">
        <v>-13.615</v>
      </c>
      <c r="D15" s="38">
        <f t="shared" ref="D15" si="10">AVERAGE(C15:C18)</f>
        <v>-14.203374999999999</v>
      </c>
      <c r="E15" s="39">
        <f t="shared" ref="E15" si="11">(_xlfn.STDEV.S(C15:C18)/SQRT(4))/-D15</f>
        <v>0.15696127176000338</v>
      </c>
      <c r="F15" s="45">
        <f t="shared" ref="F15" si="12">D15/1000</f>
        <v>-1.4203374999999999E-2</v>
      </c>
      <c r="G15" s="45">
        <f>-(F15*$V$7*$V$8)/($V$9*$V$10*$V$11*10^-3)</f>
        <v>191.38790635000842</v>
      </c>
      <c r="H15" s="45">
        <f>G15/B15</f>
        <v>24.447583362075548</v>
      </c>
      <c r="I15" s="45"/>
      <c r="J15" s="39"/>
      <c r="K15" s="38">
        <v>4.2285000000000004</v>
      </c>
      <c r="L15" s="8">
        <v>-24.538</v>
      </c>
      <c r="M15" s="38">
        <f>AVERAGE(L15:L16)</f>
        <v>-24.8565</v>
      </c>
      <c r="N15" s="39">
        <f>(_xlfn.STDEV.S(L15:L16)/SQRT(2))/-M15</f>
        <v>1.2813549775712599E-2</v>
      </c>
      <c r="O15" s="45">
        <f t="shared" ref="O15" si="13">M15/1000</f>
        <v>-2.48565E-2</v>
      </c>
      <c r="P15" s="45">
        <f>-(O15*$V$7*$V$8)/($V$9*$V$10*$V$11*10^-3)</f>
        <v>334.93683678625575</v>
      </c>
      <c r="Q15" s="45">
        <f>P15/K15</f>
        <v>79.209373722657148</v>
      </c>
      <c r="R15" s="45"/>
      <c r="S15" s="39"/>
    </row>
    <row r="16" spans="1:23" x14ac:dyDescent="0.35">
      <c r="A16" s="8">
        <v>4</v>
      </c>
      <c r="B16" s="38"/>
      <c r="C16" s="8">
        <v>-20.274999999999999</v>
      </c>
      <c r="D16" s="38"/>
      <c r="E16" s="39"/>
      <c r="F16" s="45"/>
      <c r="G16" s="45"/>
      <c r="H16" s="45"/>
      <c r="I16" s="45"/>
      <c r="J16" s="39"/>
      <c r="K16" s="38"/>
      <c r="L16" s="8">
        <v>-25.175000000000001</v>
      </c>
      <c r="M16" s="38"/>
      <c r="N16" s="39"/>
      <c r="O16" s="45"/>
      <c r="P16" s="45"/>
      <c r="Q16" s="45"/>
      <c r="R16" s="45"/>
      <c r="S16" s="39"/>
    </row>
    <row r="17" spans="1:19" x14ac:dyDescent="0.35">
      <c r="A17" s="8">
        <v>4</v>
      </c>
      <c r="B17" s="38"/>
      <c r="C17" s="8">
        <v>-9.5385000000000009</v>
      </c>
      <c r="D17" s="38"/>
      <c r="E17" s="39"/>
      <c r="F17" s="45"/>
      <c r="G17" s="45"/>
      <c r="H17" s="45"/>
      <c r="I17" s="45"/>
      <c r="J17" s="39"/>
      <c r="K17" s="38"/>
      <c r="L17" s="16"/>
      <c r="M17" s="16"/>
      <c r="N17" s="47"/>
      <c r="O17" s="45"/>
      <c r="P17" s="45"/>
      <c r="Q17" s="45"/>
      <c r="R17" s="45"/>
      <c r="S17" s="39"/>
    </row>
    <row r="18" spans="1:19" x14ac:dyDescent="0.35">
      <c r="A18" s="8">
        <v>4</v>
      </c>
      <c r="B18" s="38"/>
      <c r="C18" s="18">
        <v>-13.385</v>
      </c>
      <c r="D18" s="38"/>
      <c r="E18" s="39"/>
      <c r="F18" s="45"/>
      <c r="G18" s="45"/>
      <c r="H18" s="45"/>
      <c r="I18" s="45"/>
      <c r="J18" s="39"/>
      <c r="K18" s="38"/>
      <c r="L18" s="16"/>
      <c r="M18" s="16"/>
      <c r="N18" s="47"/>
      <c r="O18" s="45"/>
      <c r="P18" s="45"/>
      <c r="Q18" s="45"/>
      <c r="R18" s="45"/>
      <c r="S18" s="39"/>
    </row>
    <row r="19" spans="1:19" x14ac:dyDescent="0.35">
      <c r="A19" s="8">
        <v>5</v>
      </c>
      <c r="B19" s="38">
        <v>7.74</v>
      </c>
      <c r="C19" s="8">
        <v>-17.966999999999999</v>
      </c>
      <c r="D19" s="38">
        <f>AVERAGE(C19:C20)</f>
        <v>-17.625</v>
      </c>
      <c r="E19" s="39">
        <f>(_xlfn.STDEV.S(C19:C20)/SQRT(2))/-D19</f>
        <v>1.9404255319148866E-2</v>
      </c>
      <c r="F19" s="45">
        <f>D19/1000</f>
        <v>-1.7624999999999998E-2</v>
      </c>
      <c r="G19" s="45">
        <f>-(F19*$V$7*$V$8)/($V$9*$V$10*$V$11*10^-3)</f>
        <v>237.49368367862559</v>
      </c>
      <c r="H19" s="45">
        <f>G19/B19</f>
        <v>30.683938459770747</v>
      </c>
      <c r="I19" s="45"/>
      <c r="J19" s="39"/>
      <c r="K19" s="38">
        <v>6.4544999999999995</v>
      </c>
      <c r="L19" s="8">
        <v>-28.614999999999998</v>
      </c>
      <c r="M19" s="38">
        <f>AVERAGE(L19:L20)</f>
        <v>-25.027999999999999</v>
      </c>
      <c r="N19" s="39">
        <f>(_xlfn.STDEV.S(L19:L20)/SQRT(2))/-M19</f>
        <v>0.14331948217995857</v>
      </c>
      <c r="O19" s="45">
        <f>M19/1000</f>
        <v>-2.5027999999999998E-2</v>
      </c>
      <c r="P19" s="45">
        <f>-(O19*$V$7*$V$8)/($V$9*$V$10*$V$11*10^-3)</f>
        <v>337.24776823311436</v>
      </c>
      <c r="Q19" s="45">
        <f>P19/K19</f>
        <v>52.25002219120217</v>
      </c>
      <c r="R19" s="45"/>
      <c r="S19" s="39"/>
    </row>
    <row r="20" spans="1:19" x14ac:dyDescent="0.35">
      <c r="A20" s="8">
        <v>5</v>
      </c>
      <c r="B20" s="38"/>
      <c r="C20" s="8">
        <v>-17.283000000000001</v>
      </c>
      <c r="D20" s="38"/>
      <c r="E20" s="39"/>
      <c r="F20" s="45"/>
      <c r="G20" s="45"/>
      <c r="H20" s="45"/>
      <c r="I20" s="45"/>
      <c r="J20" s="39"/>
      <c r="K20" s="38"/>
      <c r="L20" s="8">
        <v>-21.440999999999999</v>
      </c>
      <c r="M20" s="38"/>
      <c r="N20" s="39"/>
      <c r="O20" s="45"/>
      <c r="P20" s="45"/>
      <c r="Q20" s="45"/>
      <c r="R20" s="45"/>
      <c r="S20" s="39"/>
    </row>
    <row r="21" spans="1:19" x14ac:dyDescent="0.35">
      <c r="A21" s="8">
        <v>6</v>
      </c>
      <c r="B21" s="38">
        <v>8.5934999999999988</v>
      </c>
      <c r="C21" s="8">
        <v>-17.79</v>
      </c>
      <c r="D21" s="38">
        <f t="shared" ref="D21" si="14">AVERAGE(C21:C22)</f>
        <v>-19.734000000000002</v>
      </c>
      <c r="E21" s="39">
        <f t="shared" ref="E21" si="15">(_xlfn.STDEV.S(C21:C22)/SQRT(2))/-D21</f>
        <v>9.8510185466707229E-2</v>
      </c>
      <c r="F21" s="45">
        <f t="shared" ref="F21" si="16">D21/1000</f>
        <v>-1.9734000000000002E-2</v>
      </c>
      <c r="G21" s="45">
        <f>-(F21*$V$7*$V$8)/($V$9*$V$10*$V$11*10^-3)</f>
        <v>265.91207680646795</v>
      </c>
      <c r="H21" s="45">
        <f t="shared" ref="H21" si="17">G21/B21</f>
        <v>30.943396381738289</v>
      </c>
      <c r="I21" s="45">
        <f>AVERAGE(H21:H30)</f>
        <v>29.870680677183394</v>
      </c>
      <c r="J21" s="39">
        <f>(_xlfn.STDEV.S(H21:H30)/SQRT(5))/I21</f>
        <v>0.1025176972870873</v>
      </c>
      <c r="K21" s="38">
        <v>5.7900000000000009</v>
      </c>
      <c r="L21" s="8">
        <v>-19.748000000000001</v>
      </c>
      <c r="M21" s="38">
        <f t="shared" ref="M21" si="18">AVERAGE(L21:L22)</f>
        <v>-20.148499999999999</v>
      </c>
      <c r="N21" s="39">
        <f t="shared" ref="N21" si="19">(_xlfn.STDEV.S(L21:L22)/SQRT(2))/-M21</f>
        <v>1.9877410229049271E-2</v>
      </c>
      <c r="O21" s="45">
        <f t="shared" ref="O21" si="20">M21/1000</f>
        <v>-2.01485E-2</v>
      </c>
      <c r="P21" s="45">
        <f>-(O21*$V$7*$V$8)/($V$9*$V$10*$V$11*10^-3)</f>
        <v>271.4973892538319</v>
      </c>
      <c r="Q21" s="45">
        <f t="shared" ref="Q21" si="21">P21/K21</f>
        <v>46.890740803770612</v>
      </c>
      <c r="R21" s="45">
        <f>AVERAGE(Q21:Q24,Q27:Q30)</f>
        <v>52.349100826395699</v>
      </c>
      <c r="S21" s="43">
        <f>(_xlfn.STDEV.S(Q21:Q24,Q27:Q30)/SQRT(4))/R21</f>
        <v>9.5437857424738051E-2</v>
      </c>
    </row>
    <row r="22" spans="1:19" x14ac:dyDescent="0.35">
      <c r="A22" s="8">
        <v>6</v>
      </c>
      <c r="B22" s="38"/>
      <c r="C22" s="8">
        <v>-21.678000000000001</v>
      </c>
      <c r="D22" s="38"/>
      <c r="E22" s="39"/>
      <c r="F22" s="45"/>
      <c r="G22" s="45"/>
      <c r="H22" s="45"/>
      <c r="I22" s="45"/>
      <c r="J22" s="39"/>
      <c r="K22" s="38"/>
      <c r="L22" s="8">
        <v>-20.548999999999999</v>
      </c>
      <c r="M22" s="38"/>
      <c r="N22" s="39"/>
      <c r="O22" s="45"/>
      <c r="P22" s="45"/>
      <c r="Q22" s="45"/>
      <c r="R22" s="45"/>
      <c r="S22" s="43"/>
    </row>
    <row r="23" spans="1:19" x14ac:dyDescent="0.35">
      <c r="A23" s="8">
        <v>7</v>
      </c>
      <c r="B23" s="38">
        <v>7.4744999999999999</v>
      </c>
      <c r="C23" s="8">
        <v>-10.803000000000001</v>
      </c>
      <c r="D23" s="38">
        <f t="shared" ref="D23" si="22">AVERAGE(C23:C24)</f>
        <v>-11.129000000000001</v>
      </c>
      <c r="E23" s="39">
        <f t="shared" ref="E23" si="23">(_xlfn.STDEV.S(C23:C24)/SQRT(2))/-D23</f>
        <v>2.9292838529966714E-2</v>
      </c>
      <c r="F23" s="45">
        <f t="shared" ref="F23" si="24">D23/1000</f>
        <v>-1.1129000000000002E-2</v>
      </c>
      <c r="G23" s="45">
        <f>-(F23*$V$7*$V$8)/($V$9*$V$10*$V$11*10^-3)</f>
        <v>149.96125989557018</v>
      </c>
      <c r="H23" s="45">
        <f t="shared" ref="H23" si="25">G23/B23</f>
        <v>20.06304901940868</v>
      </c>
      <c r="I23" s="45"/>
      <c r="J23" s="39"/>
      <c r="K23" s="38">
        <v>4.5284999999999993</v>
      </c>
      <c r="L23" s="8">
        <v>-21.712</v>
      </c>
      <c r="M23" s="38">
        <f t="shared" ref="M23" si="26">AVERAGE(L23:L24)</f>
        <v>-21.817499999999999</v>
      </c>
      <c r="N23" s="39">
        <f t="shared" ref="N23" si="27">(_xlfn.STDEV.S(L23:L24)/SQRT(2))/-M23</f>
        <v>4.8355677781596997E-3</v>
      </c>
      <c r="O23" s="45">
        <f t="shared" ref="O23" si="28">M23/1000</f>
        <v>-2.18175E-2</v>
      </c>
      <c r="P23" s="45">
        <f>-(O23*$V$7*$V$8)/($V$9*$V$10*$V$11*10^-3)</f>
        <v>293.98686205154121</v>
      </c>
      <c r="Q23" s="45">
        <f t="shared" ref="Q23" si="29">P23/K23</f>
        <v>64.919258485489948</v>
      </c>
      <c r="R23" s="45"/>
      <c r="S23" s="43"/>
    </row>
    <row r="24" spans="1:19" x14ac:dyDescent="0.35">
      <c r="A24" s="8">
        <v>7</v>
      </c>
      <c r="B24" s="38"/>
      <c r="C24" s="8">
        <v>-11.455</v>
      </c>
      <c r="D24" s="38"/>
      <c r="E24" s="39"/>
      <c r="F24" s="45"/>
      <c r="G24" s="45"/>
      <c r="H24" s="45"/>
      <c r="I24" s="45"/>
      <c r="J24" s="39"/>
      <c r="K24" s="38"/>
      <c r="L24" s="8">
        <v>-21.922999999999998</v>
      </c>
      <c r="M24" s="38"/>
      <c r="N24" s="39"/>
      <c r="O24" s="45"/>
      <c r="P24" s="45"/>
      <c r="Q24" s="45"/>
      <c r="R24" s="45"/>
      <c r="S24" s="43"/>
    </row>
    <row r="25" spans="1:19" x14ac:dyDescent="0.35">
      <c r="A25" s="8">
        <v>8</v>
      </c>
      <c r="B25" s="38">
        <v>6.5880000000000001</v>
      </c>
      <c r="C25" s="8">
        <v>-13.516</v>
      </c>
      <c r="D25" s="38">
        <f t="shared" ref="D25" si="30">AVERAGE(C25:C26)</f>
        <v>-13.709</v>
      </c>
      <c r="E25" s="39">
        <f t="shared" ref="E25" si="31">(_xlfn.STDEV.S(C25:C26)/SQRT(2))/-D25</f>
        <v>1.4078342694580175E-2</v>
      </c>
      <c r="F25" s="45">
        <f t="shared" ref="F25" si="32">D25/1000</f>
        <v>-1.3708999999999999E-2</v>
      </c>
      <c r="G25" s="45">
        <f>-(F25*$V$7*$V$8)/($V$9*$V$10*$V$11*10^-3)</f>
        <v>184.72629274044132</v>
      </c>
      <c r="H25" s="45">
        <f t="shared" ref="H25" si="33">G25/B25</f>
        <v>28.039813712878161</v>
      </c>
      <c r="I25" s="45"/>
      <c r="J25" s="39"/>
      <c r="K25" s="58">
        <v>3.1095000000000002</v>
      </c>
      <c r="L25" s="59">
        <v>-28.385000000000002</v>
      </c>
      <c r="M25" s="58">
        <f t="shared" ref="M25" si="34">AVERAGE(L25:L26)</f>
        <v>-26.92</v>
      </c>
      <c r="N25" s="60">
        <f t="shared" ref="N25" si="35">(_xlfn.STDEV.S(L25:L26)/SQRT(2))/-M25</f>
        <v>5.442050520059441E-2</v>
      </c>
      <c r="O25" s="61">
        <f t="shared" ref="O25" si="36">M25/1000</f>
        <v>-2.6920000000000003E-2</v>
      </c>
      <c r="P25" s="61">
        <f>-(O25*$V$7*$V$8)/($V$9*$V$10*$V$11*10^-3)</f>
        <v>362.74212565268664</v>
      </c>
      <c r="Q25" s="62" t="s">
        <v>93</v>
      </c>
      <c r="R25" s="45"/>
      <c r="S25" s="43"/>
    </row>
    <row r="26" spans="1:19" x14ac:dyDescent="0.35">
      <c r="A26" s="8">
        <v>8</v>
      </c>
      <c r="B26" s="38"/>
      <c r="C26" s="8">
        <v>-13.901999999999999</v>
      </c>
      <c r="D26" s="38"/>
      <c r="E26" s="39"/>
      <c r="F26" s="45"/>
      <c r="G26" s="45"/>
      <c r="H26" s="45"/>
      <c r="I26" s="45"/>
      <c r="J26" s="39"/>
      <c r="K26" s="58"/>
      <c r="L26" s="59">
        <v>-25.454999999999998</v>
      </c>
      <c r="M26" s="58"/>
      <c r="N26" s="60"/>
      <c r="O26" s="61"/>
      <c r="P26" s="61"/>
      <c r="Q26" s="62"/>
      <c r="R26" s="45"/>
      <c r="S26" s="43"/>
    </row>
    <row r="27" spans="1:19" x14ac:dyDescent="0.35">
      <c r="A27" s="8">
        <v>9</v>
      </c>
      <c r="B27" s="38">
        <v>7.9169999999999989</v>
      </c>
      <c r="C27" s="8">
        <v>-16.231000000000002</v>
      </c>
      <c r="D27" s="38">
        <f t="shared" ref="D27" si="37">AVERAGE(C27:C28)</f>
        <v>-18.339500000000001</v>
      </c>
      <c r="E27" s="39">
        <f t="shared" ref="E27" si="38">(_xlfn.STDEV.S(C27:C28)/SQRT(2))/-D27</f>
        <v>0.11497041904086738</v>
      </c>
      <c r="F27" s="45">
        <f t="shared" ref="F27" si="39">D27/1000</f>
        <v>-1.8339500000000002E-2</v>
      </c>
      <c r="G27" s="45">
        <f>-(F27*$V$7*$V$8)/($V$9*$V$10*$V$11*10^-3)</f>
        <v>247.12144180562578</v>
      </c>
      <c r="H27" s="45">
        <f t="shared" ref="H27" si="40">G27/B27</f>
        <v>31.214025742784617</v>
      </c>
      <c r="I27" s="45"/>
      <c r="J27" s="39"/>
      <c r="K27" s="38">
        <v>4.782</v>
      </c>
      <c r="L27" s="8">
        <v>-18.808</v>
      </c>
      <c r="M27" s="38">
        <f t="shared" ref="M27" si="41">AVERAGE(L27:L28)</f>
        <v>-19.649000000000001</v>
      </c>
      <c r="N27" s="39">
        <f t="shared" ref="N27" si="42">(_xlfn.STDEV.S(L27:L28)/SQRT(2))/-M27</f>
        <v>4.2801160364395088E-2</v>
      </c>
      <c r="O27" s="45">
        <f t="shared" ref="O27" si="43">M27/1000</f>
        <v>-1.9649E-2</v>
      </c>
      <c r="P27" s="45">
        <f>-(O27*$V$7*$V$8)/($V$9*$V$10*$V$11*10^-3)</f>
        <v>264.76671719723765</v>
      </c>
      <c r="Q27" s="45">
        <f t="shared" ref="Q27" si="44">P27/K27</f>
        <v>55.367360350739787</v>
      </c>
      <c r="R27" s="45"/>
      <c r="S27" s="43"/>
    </row>
    <row r="28" spans="1:19" x14ac:dyDescent="0.35">
      <c r="A28" s="8">
        <v>9</v>
      </c>
      <c r="B28" s="38"/>
      <c r="C28" s="8">
        <v>-20.448</v>
      </c>
      <c r="D28" s="38"/>
      <c r="E28" s="39"/>
      <c r="F28" s="45"/>
      <c r="G28" s="45"/>
      <c r="H28" s="45"/>
      <c r="I28" s="45"/>
      <c r="J28" s="39"/>
      <c r="K28" s="38"/>
      <c r="L28" s="8">
        <v>-20.49</v>
      </c>
      <c r="M28" s="38"/>
      <c r="N28" s="39"/>
      <c r="O28" s="45"/>
      <c r="P28" s="45"/>
      <c r="Q28" s="45"/>
      <c r="R28" s="45"/>
      <c r="S28" s="43"/>
    </row>
    <row r="29" spans="1:19" x14ac:dyDescent="0.35">
      <c r="A29" s="8">
        <v>10</v>
      </c>
      <c r="B29" s="38">
        <v>6.5940000000000003</v>
      </c>
      <c r="C29" s="8">
        <v>-17.187000000000001</v>
      </c>
      <c r="D29" s="38">
        <f t="shared" ref="D29:D45" si="45">AVERAGE(C29:C30)</f>
        <v>-19.130500000000001</v>
      </c>
      <c r="E29" s="39">
        <f t="shared" ref="E29" si="46">(_xlfn.STDEV.S(C29:C30)/SQRT(2))/-D29</f>
        <v>0.10159169911920733</v>
      </c>
      <c r="F29" s="45">
        <f t="shared" ref="F29" si="47">D29/1000</f>
        <v>-1.9130500000000002E-2</v>
      </c>
      <c r="G29" s="45">
        <f>-(F29*$V$7*$V$8)/($V$9*$V$10*$V$11*10^-3)</f>
        <v>257.78002358093318</v>
      </c>
      <c r="H29" s="45">
        <f t="shared" ref="H29" si="48">G29/B29</f>
        <v>39.093118529107244</v>
      </c>
      <c r="I29" s="45"/>
      <c r="J29" s="39"/>
      <c r="K29" s="38">
        <v>6.5549999999999997</v>
      </c>
      <c r="L29" s="8">
        <v>-20.516999999999999</v>
      </c>
      <c r="M29" s="38">
        <f t="shared" ref="M29" si="49">AVERAGE(L29:L30)</f>
        <v>-20.538</v>
      </c>
      <c r="N29" s="39">
        <f t="shared" ref="N29" si="50">(_xlfn.STDEV.S(L29:L30)/SQRT(2))/-M29</f>
        <v>1.0224948875256011E-3</v>
      </c>
      <c r="O29" s="45">
        <f t="shared" ref="O29" si="51">M29/1000</f>
        <v>-2.0538000000000001E-2</v>
      </c>
      <c r="P29" s="45">
        <f>-(O29*$V$7*$V$8)/($V$9*$V$10*$V$11*10^-3)</f>
        <v>276.74583122789289</v>
      </c>
      <c r="Q29" s="45">
        <f t="shared" ref="Q29" si="52">P29/K29</f>
        <v>42.21904366558244</v>
      </c>
      <c r="R29" s="45"/>
      <c r="S29" s="43"/>
    </row>
    <row r="30" spans="1:19" x14ac:dyDescent="0.35">
      <c r="A30" s="8">
        <v>10</v>
      </c>
      <c r="B30" s="38"/>
      <c r="C30" s="8">
        <v>-21.074000000000002</v>
      </c>
      <c r="D30" s="38"/>
      <c r="E30" s="39"/>
      <c r="F30" s="45"/>
      <c r="G30" s="45"/>
      <c r="H30" s="45"/>
      <c r="I30" s="45"/>
      <c r="J30" s="39"/>
      <c r="K30" s="38"/>
      <c r="L30" s="8">
        <v>-20.559000000000001</v>
      </c>
      <c r="M30" s="38"/>
      <c r="N30" s="39"/>
      <c r="O30" s="45"/>
      <c r="P30" s="45"/>
      <c r="Q30" s="45"/>
      <c r="R30" s="45"/>
      <c r="S30" s="43"/>
    </row>
    <row r="31" spans="1:19" x14ac:dyDescent="0.35">
      <c r="A31" s="8">
        <v>11</v>
      </c>
      <c r="B31" s="38">
        <v>8.6610000000000014</v>
      </c>
      <c r="C31" s="8">
        <v>-11.218999999999999</v>
      </c>
      <c r="D31" s="38">
        <f t="shared" ref="D31:D47" si="53">AVERAGE(C31:C32)</f>
        <v>-12.867999999999999</v>
      </c>
      <c r="E31" s="39">
        <f t="shared" ref="E31" si="54">(_xlfn.STDEV.S(C31:C32)/SQRT(2))/-D31</f>
        <v>0.12814734224432764</v>
      </c>
      <c r="F31" s="45">
        <f t="shared" ref="F31" si="55">D31/1000</f>
        <v>-1.2867999999999999E-2</v>
      </c>
      <c r="G31" s="45">
        <f>-(F31*$V$7*$V$8)/($V$9*$V$10*$V$11*10^-3)</f>
        <v>173.39397001852791</v>
      </c>
      <c r="H31" s="45">
        <f t="shared" ref="H31" si="56">G31/B31</f>
        <v>20.020086597220629</v>
      </c>
      <c r="I31" s="45">
        <f t="shared" ref="I31" si="57">AVERAGE(H31:H40)</f>
        <v>23.611288683082755</v>
      </c>
      <c r="J31" s="39">
        <f t="shared" ref="J31" si="58">(_xlfn.STDEV.S(H31:H40)/SQRT(5))/I31</f>
        <v>6.5957427296748153E-2</v>
      </c>
      <c r="K31" s="38">
        <v>5.5694999999999997</v>
      </c>
      <c r="L31" s="8">
        <v>-23.561</v>
      </c>
      <c r="M31" s="38">
        <f t="shared" ref="M31" si="59">AVERAGE(L31:L32)</f>
        <v>-24.2255</v>
      </c>
      <c r="N31" s="39">
        <f t="shared" ref="N31" si="60">(_xlfn.STDEV.S(L31:L32)/SQRT(2))/-M31</f>
        <v>2.7429774411260873E-2</v>
      </c>
      <c r="O31" s="45">
        <f t="shared" ref="O31" si="61">M31/1000</f>
        <v>-2.4225500000000001E-2</v>
      </c>
      <c r="P31" s="45">
        <f>-(O31*$V$7*$V$8)/($V$9*$V$10*$V$11*10^-3)</f>
        <v>326.43422604008765</v>
      </c>
      <c r="Q31" s="45">
        <f t="shared" ref="Q31" si="62">P31/K31</f>
        <v>58.611046959347817</v>
      </c>
      <c r="R31" s="45">
        <f t="shared" ref="R31" si="63">AVERAGE(Q31:Q40)</f>
        <v>64.447372821300306</v>
      </c>
      <c r="S31" s="39">
        <f t="shared" ref="S31" si="64">(_xlfn.STDEV.S(Q31:Q40)/SQRT(5))/R31</f>
        <v>9.144976420177961E-2</v>
      </c>
    </row>
    <row r="32" spans="1:19" x14ac:dyDescent="0.35">
      <c r="A32" s="8">
        <v>11</v>
      </c>
      <c r="B32" s="38"/>
      <c r="C32" s="8">
        <v>-14.516999999999999</v>
      </c>
      <c r="D32" s="38"/>
      <c r="E32" s="39"/>
      <c r="F32" s="45"/>
      <c r="G32" s="45"/>
      <c r="H32" s="45"/>
      <c r="I32" s="45"/>
      <c r="J32" s="39"/>
      <c r="K32" s="38"/>
      <c r="L32" s="8">
        <v>-24.89</v>
      </c>
      <c r="M32" s="38"/>
      <c r="N32" s="39"/>
      <c r="O32" s="45"/>
      <c r="P32" s="45"/>
      <c r="Q32" s="45"/>
      <c r="R32" s="45"/>
      <c r="S32" s="39"/>
    </row>
    <row r="33" spans="1:19" x14ac:dyDescent="0.35">
      <c r="A33" s="8">
        <v>12</v>
      </c>
      <c r="B33" s="38">
        <v>7.5735000000000001</v>
      </c>
      <c r="C33" s="8">
        <v>-12.811</v>
      </c>
      <c r="D33" s="38">
        <f t="shared" ref="D33:D49" si="65">AVERAGE(C33:C34)</f>
        <v>-12.07</v>
      </c>
      <c r="E33" s="39">
        <f t="shared" ref="E33" si="66">(_xlfn.STDEV.S(C33:C34)/SQRT(2))/-D33</f>
        <v>6.1391880695940308E-2</v>
      </c>
      <c r="F33" s="45">
        <f t="shared" ref="F33" si="67">D33/1000</f>
        <v>-1.2070000000000001E-2</v>
      </c>
      <c r="G33" s="45">
        <f>-(F33*$V$7*$V$8)/($V$9*$V$10*$V$11*10^-3)</f>
        <v>162.64106451069568</v>
      </c>
      <c r="H33" s="45">
        <f t="shared" ref="H33" si="68">G33/B33</f>
        <v>21.475020071393104</v>
      </c>
      <c r="I33" s="45"/>
      <c r="J33" s="39"/>
      <c r="K33" s="38">
        <v>5.3819999999999997</v>
      </c>
      <c r="L33" s="8">
        <v>-24.89</v>
      </c>
      <c r="M33" s="38">
        <f t="shared" ref="M33" si="69">AVERAGE(L33:L34)</f>
        <v>-26.060500000000001</v>
      </c>
      <c r="N33" s="39">
        <f t="shared" ref="N33" si="70">(_xlfn.STDEV.S(L33:L34)/SQRT(2))/-M33</f>
        <v>4.4914717676176601E-2</v>
      </c>
      <c r="O33" s="45">
        <f t="shared" ref="O33" si="71">M33/1000</f>
        <v>-2.60605E-2</v>
      </c>
      <c r="P33" s="45">
        <f>-(O33*$V$7*$V$8)/($V$9*$V$10*$V$11*10^-3)</f>
        <v>351.16051878052895</v>
      </c>
      <c r="Q33" s="45">
        <f t="shared" ref="Q33" si="72">P33/K33</f>
        <v>65.247216421502969</v>
      </c>
      <c r="R33" s="45"/>
      <c r="S33" s="39"/>
    </row>
    <row r="34" spans="1:19" x14ac:dyDescent="0.35">
      <c r="A34" s="8">
        <v>12</v>
      </c>
      <c r="B34" s="38"/>
      <c r="C34" s="8">
        <v>-11.329000000000001</v>
      </c>
      <c r="D34" s="38"/>
      <c r="E34" s="39"/>
      <c r="F34" s="45"/>
      <c r="G34" s="45"/>
      <c r="H34" s="45"/>
      <c r="I34" s="45"/>
      <c r="J34" s="39"/>
      <c r="K34" s="38"/>
      <c r="L34" s="8">
        <v>-27.231000000000002</v>
      </c>
      <c r="M34" s="38"/>
      <c r="N34" s="39"/>
      <c r="O34" s="45"/>
      <c r="P34" s="45"/>
      <c r="Q34" s="45"/>
      <c r="R34" s="45"/>
      <c r="S34" s="39"/>
    </row>
    <row r="35" spans="1:19" x14ac:dyDescent="0.35">
      <c r="A35" s="8">
        <v>13</v>
      </c>
      <c r="B35" s="38">
        <v>7.8960000000000008</v>
      </c>
      <c r="C35" s="8">
        <v>-12.755000000000001</v>
      </c>
      <c r="D35" s="38">
        <f t="shared" ref="D35" si="73">AVERAGE(C35:C36)</f>
        <v>-14.629000000000001</v>
      </c>
      <c r="E35" s="39">
        <f t="shared" ref="E35" si="74">(_xlfn.STDEV.S(C35:C36)/SQRT(2))/-D35</f>
        <v>0.12810171577004525</v>
      </c>
      <c r="F35" s="45">
        <f t="shared" ref="F35" si="75">D35/1000</f>
        <v>-1.4629000000000001E-2</v>
      </c>
      <c r="G35" s="45">
        <f>-(F35*$V$7*$V$8)/($V$9*$V$10*$V$11*10^-3)</f>
        <v>197.12312615799229</v>
      </c>
      <c r="H35" s="45">
        <f t="shared" ref="H35" si="76">G35/B35</f>
        <v>24.964934923757887</v>
      </c>
      <c r="I35" s="45"/>
      <c r="J35" s="39"/>
      <c r="K35" s="38">
        <v>6.7214999999999998</v>
      </c>
      <c r="L35" s="8">
        <v>-28.28</v>
      </c>
      <c r="M35" s="38">
        <f t="shared" ref="M35" si="77">AVERAGE(L35:L36)</f>
        <v>-29.963999999999999</v>
      </c>
      <c r="N35" s="39">
        <f t="shared" ref="N35" si="78">(_xlfn.STDEV.S(L35:L36)/SQRT(2))/-M35</f>
        <v>5.620077426244826E-2</v>
      </c>
      <c r="O35" s="45">
        <f t="shared" ref="O35" si="79">M35/1000</f>
        <v>-2.9963999999999998E-2</v>
      </c>
      <c r="P35" s="45">
        <f>-(O35*$V$7*$V$8)/($V$9*$V$10*$V$11*10^-3)</f>
        <v>403.75947448206165</v>
      </c>
      <c r="Q35" s="45">
        <f t="shared" ref="Q35" si="80">P35/K35</f>
        <v>60.069846683338788</v>
      </c>
      <c r="R35" s="45"/>
      <c r="S35" s="39"/>
    </row>
    <row r="36" spans="1:19" x14ac:dyDescent="0.35">
      <c r="A36" s="8">
        <v>13</v>
      </c>
      <c r="B36" s="38"/>
      <c r="C36" s="8">
        <v>-16.503</v>
      </c>
      <c r="D36" s="38"/>
      <c r="E36" s="39"/>
      <c r="F36" s="45"/>
      <c r="G36" s="45"/>
      <c r="H36" s="45"/>
      <c r="I36" s="45"/>
      <c r="J36" s="39"/>
      <c r="K36" s="38"/>
      <c r="L36" s="8">
        <v>-31.648</v>
      </c>
      <c r="M36" s="38"/>
      <c r="N36" s="39"/>
      <c r="O36" s="45"/>
      <c r="P36" s="45"/>
      <c r="Q36" s="45"/>
      <c r="R36" s="45"/>
      <c r="S36" s="39"/>
    </row>
    <row r="37" spans="1:19" x14ac:dyDescent="0.35">
      <c r="A37" s="8">
        <v>14</v>
      </c>
      <c r="B37" s="38">
        <v>8.5725000000000016</v>
      </c>
      <c r="C37" s="8">
        <v>-19.670000000000002</v>
      </c>
      <c r="D37" s="38">
        <f t="shared" si="45"/>
        <v>-18.406500000000001</v>
      </c>
      <c r="E37" s="39">
        <f t="shared" ref="E37" si="81">(_xlfn.STDEV.S(C37:C38)/SQRT(2))/-D37</f>
        <v>6.8644228940863306E-2</v>
      </c>
      <c r="F37" s="45">
        <f t="shared" ref="F37" si="82">D37/1000</f>
        <v>-1.8406500000000003E-2</v>
      </c>
      <c r="G37" s="45">
        <f>-(F37*$V$7*$V$8)/($V$9*$V$10*$V$11*10^-3)</f>
        <v>248.02425467407787</v>
      </c>
      <c r="H37" s="45">
        <f t="shared" ref="H37" si="83">G37/B37</f>
        <v>28.932546476999455</v>
      </c>
      <c r="I37" s="45"/>
      <c r="J37" s="39"/>
      <c r="K37" s="38">
        <v>6.9870000000000001</v>
      </c>
      <c r="L37" s="8">
        <v>-23.916</v>
      </c>
      <c r="M37" s="38">
        <f t="shared" ref="M37" si="84">AVERAGE(L37:L38)</f>
        <v>-26.902999999999999</v>
      </c>
      <c r="N37" s="39">
        <f t="shared" ref="N37" si="85">(_xlfn.STDEV.S(L37:L38)/SQRT(2))/-M37</f>
        <v>0.11102850983161763</v>
      </c>
      <c r="O37" s="45">
        <f t="shared" ref="O37" si="86">M37/1000</f>
        <v>-2.6903E-2</v>
      </c>
      <c r="P37" s="45">
        <f>-(O37*$V$7*$V$8)/($V$9*$V$10*$V$11*10^-3)</f>
        <v>362.51305373084051</v>
      </c>
      <c r="Q37" s="45">
        <f t="shared" ref="Q37" si="87">P37/K37</f>
        <v>51.883934983661156</v>
      </c>
      <c r="R37" s="45"/>
      <c r="S37" s="39"/>
    </row>
    <row r="38" spans="1:19" x14ac:dyDescent="0.35">
      <c r="A38" s="8">
        <v>14</v>
      </c>
      <c r="B38" s="38"/>
      <c r="C38" s="8">
        <v>-17.143000000000001</v>
      </c>
      <c r="D38" s="38"/>
      <c r="E38" s="39"/>
      <c r="F38" s="45"/>
      <c r="G38" s="45"/>
      <c r="H38" s="45"/>
      <c r="I38" s="45"/>
      <c r="J38" s="39"/>
      <c r="K38" s="38"/>
      <c r="L38" s="8">
        <v>-29.89</v>
      </c>
      <c r="M38" s="38"/>
      <c r="N38" s="39"/>
      <c r="O38" s="45"/>
      <c r="P38" s="45"/>
      <c r="Q38" s="45"/>
      <c r="R38" s="45"/>
      <c r="S38" s="39"/>
    </row>
    <row r="39" spans="1:19" x14ac:dyDescent="0.35">
      <c r="A39" s="8">
        <v>15</v>
      </c>
      <c r="B39" s="38">
        <v>8.1180000000000003</v>
      </c>
      <c r="C39" s="8">
        <v>-13.462</v>
      </c>
      <c r="D39" s="38">
        <f t="shared" si="53"/>
        <v>-13.654</v>
      </c>
      <c r="E39" s="39">
        <f t="shared" ref="E39" si="88">(_xlfn.STDEV.S(C39:C40)/SQRT(2))/-D39</f>
        <v>1.4061813388018176E-2</v>
      </c>
      <c r="F39" s="45">
        <f t="shared" ref="F39" si="89">D39/1000</f>
        <v>-1.3653999999999999E-2</v>
      </c>
      <c r="G39" s="45">
        <f>-(F39*$V$7*$V$8)/($V$9*$V$10*$V$11*10^-3)</f>
        <v>183.9851776991747</v>
      </c>
      <c r="H39" s="45">
        <f t="shared" ref="H39" si="90">G39/B39</f>
        <v>22.663855346042705</v>
      </c>
      <c r="I39" s="45"/>
      <c r="J39" s="39"/>
      <c r="K39" s="38">
        <v>5.8905000000000003</v>
      </c>
      <c r="L39" s="8">
        <v>-31.812999999999999</v>
      </c>
      <c r="M39" s="38">
        <f t="shared" ref="M39" si="91">AVERAGE(L39:L40)</f>
        <v>-37.780499999999996</v>
      </c>
      <c r="N39" s="39">
        <f t="shared" ref="N39" si="92">(_xlfn.STDEV.S(L39:L40)/SQRT(2))/-M39</f>
        <v>0.15795185346938248</v>
      </c>
      <c r="O39" s="45">
        <f t="shared" ref="O39" si="93">M39/1000</f>
        <v>-3.7780499999999995E-2</v>
      </c>
      <c r="P39" s="45">
        <f>-(O39*$V$7*$V$8)/($V$9*$V$10*$V$11*10^-3)</f>
        <v>509.08539666498234</v>
      </c>
      <c r="Q39" s="45">
        <f t="shared" ref="Q39" si="94">P39/K39</f>
        <v>86.424819058650769</v>
      </c>
      <c r="R39" s="45"/>
      <c r="S39" s="39"/>
    </row>
    <row r="40" spans="1:19" x14ac:dyDescent="0.35">
      <c r="A40" s="8">
        <v>15</v>
      </c>
      <c r="B40" s="38"/>
      <c r="C40" s="8">
        <v>-13.846</v>
      </c>
      <c r="D40" s="38"/>
      <c r="E40" s="39"/>
      <c r="F40" s="45"/>
      <c r="G40" s="45"/>
      <c r="H40" s="45"/>
      <c r="I40" s="45"/>
      <c r="J40" s="39"/>
      <c r="K40" s="38"/>
      <c r="L40" s="8">
        <v>-43.747999999999998</v>
      </c>
      <c r="M40" s="38"/>
      <c r="N40" s="39"/>
      <c r="O40" s="45"/>
      <c r="P40" s="45"/>
      <c r="Q40" s="45"/>
      <c r="R40" s="45"/>
      <c r="S40" s="39"/>
    </row>
    <row r="41" spans="1:19" x14ac:dyDescent="0.35">
      <c r="A41" s="8">
        <v>16</v>
      </c>
      <c r="B41" s="38">
        <v>6.9989999999999997</v>
      </c>
      <c r="C41" s="8">
        <v>-14.67</v>
      </c>
      <c r="D41" s="38">
        <f t="shared" si="65"/>
        <v>-14.3</v>
      </c>
      <c r="E41" s="39">
        <f t="shared" ref="E41" si="95">(_xlfn.STDEV.S(C41:C42)/SQRT(2))/-D41</f>
        <v>2.5874125874125877E-2</v>
      </c>
      <c r="F41" s="45">
        <f t="shared" ref="F41" si="96">D41/1000</f>
        <v>-1.43E-2</v>
      </c>
      <c r="G41" s="45">
        <f>-(F41*$V$7*$V$8)/($V$9*$V$10*$V$11*10^-3)</f>
        <v>192.68991072932459</v>
      </c>
      <c r="H41" s="45">
        <f t="shared" ref="H41" si="97">G41/B41</f>
        <v>27.531063113205402</v>
      </c>
      <c r="I41" s="45">
        <f t="shared" ref="I41" si="98">AVERAGE(H41:H50)</f>
        <v>34.185650921091927</v>
      </c>
      <c r="J41" s="39">
        <f t="shared" ref="J41" si="99">(_xlfn.STDEV.S(H41:H50)/SQRT(5))/I41</f>
        <v>0.13328110902761919</v>
      </c>
      <c r="K41" s="38">
        <v>4.5179999999999998</v>
      </c>
      <c r="L41" s="8">
        <v>-33.462000000000003</v>
      </c>
      <c r="M41" s="38">
        <f t="shared" ref="M41" si="100">AVERAGE(L41:L42)</f>
        <v>-37.038499999999999</v>
      </c>
      <c r="N41" s="39">
        <f t="shared" ref="N41" si="101">(_xlfn.STDEV.S(L41:L42)/SQRT(2))/-M41</f>
        <v>9.6561685813410347E-2</v>
      </c>
      <c r="O41" s="45">
        <f t="shared" ref="O41" si="102">M41/1000</f>
        <v>-3.7038500000000002E-2</v>
      </c>
      <c r="P41" s="45">
        <f>-(O41*$V$7*$V$8)/($V$9*$V$10*$V$11*10^-3)</f>
        <v>499.08708101734891</v>
      </c>
      <c r="Q41" s="62">
        <f t="shared" ref="Q41" si="103">P41/K41</f>
        <v>110.46637472716887</v>
      </c>
      <c r="R41" s="45">
        <f t="shared" ref="R41" si="104">AVERAGE(Q41:Q50)</f>
        <v>74.808495831073898</v>
      </c>
      <c r="S41" s="39">
        <f t="shared" ref="S41" si="105">(_xlfn.STDEV.S(Q41:Q50)/SQRT(5))/R41</f>
        <v>0.13167004893898063</v>
      </c>
    </row>
    <row r="42" spans="1:19" x14ac:dyDescent="0.35">
      <c r="A42" s="8">
        <v>16</v>
      </c>
      <c r="B42" s="38"/>
      <c r="C42" s="8">
        <v>-13.93</v>
      </c>
      <c r="D42" s="38"/>
      <c r="E42" s="39"/>
      <c r="F42" s="45"/>
      <c r="G42" s="45"/>
      <c r="H42" s="45"/>
      <c r="I42" s="45"/>
      <c r="J42" s="39"/>
      <c r="K42" s="38"/>
      <c r="L42" s="8">
        <v>-40.615000000000002</v>
      </c>
      <c r="M42" s="38"/>
      <c r="N42" s="39"/>
      <c r="O42" s="45"/>
      <c r="P42" s="45"/>
      <c r="Q42" s="62"/>
      <c r="R42" s="45"/>
      <c r="S42" s="39"/>
    </row>
    <row r="43" spans="1:19" x14ac:dyDescent="0.35">
      <c r="A43" s="8">
        <v>17</v>
      </c>
      <c r="B43" s="38">
        <v>6.5324999999999998</v>
      </c>
      <c r="C43" s="8">
        <v>-10.692</v>
      </c>
      <c r="D43" s="38">
        <f t="shared" ref="D43" si="106">AVERAGE(C43:C44)</f>
        <v>-11.332000000000001</v>
      </c>
      <c r="E43" s="39">
        <f t="shared" ref="E43" si="107">(_xlfn.STDEV.S(C43:C44)/SQRT(2))/-D43</f>
        <v>5.6477232615601801E-2</v>
      </c>
      <c r="F43" s="45">
        <f t="shared" ref="F43" si="108">D43/1000</f>
        <v>-1.1332E-2</v>
      </c>
      <c r="G43" s="45">
        <f>-(F43*$V$7*$V$8)/($V$9*$V$10*$V$11*10^-3)</f>
        <v>152.69664813879064</v>
      </c>
      <c r="H43" s="45">
        <f t="shared" ref="H43" si="109">G43/B43</f>
        <v>23.374917434181498</v>
      </c>
      <c r="I43" s="45"/>
      <c r="J43" s="39"/>
      <c r="K43" s="38">
        <v>6.7650000000000006</v>
      </c>
      <c r="L43" s="8">
        <v>-31.614999999999998</v>
      </c>
      <c r="M43" s="38">
        <f t="shared" ref="M43" si="110">AVERAGE(L43:L44)</f>
        <v>-32.290999999999997</v>
      </c>
      <c r="N43" s="39">
        <f t="shared" ref="N43" si="111">(_xlfn.STDEV.S(L43:L44)/SQRT(2))/-M43</f>
        <v>2.0934625747112204E-2</v>
      </c>
      <c r="O43" s="45">
        <f t="shared" ref="O43" si="112">M43/1000</f>
        <v>-3.2291E-2</v>
      </c>
      <c r="P43" s="45">
        <f t="shared" ref="P43" si="113">-(O43*$V$7*$V$8)/($V$9*$V$10*$V$11*10^-3)</f>
        <v>435.11537813710635</v>
      </c>
      <c r="Q43" s="45">
        <f t="shared" ref="Q43" si="114">P43/K43</f>
        <v>64.318607263430351</v>
      </c>
      <c r="R43" s="45"/>
      <c r="S43" s="39"/>
    </row>
    <row r="44" spans="1:19" x14ac:dyDescent="0.35">
      <c r="A44" s="8">
        <v>17</v>
      </c>
      <c r="B44" s="38"/>
      <c r="C44" s="8">
        <v>-11.972</v>
      </c>
      <c r="D44" s="38"/>
      <c r="E44" s="39"/>
      <c r="F44" s="45"/>
      <c r="G44" s="45"/>
      <c r="H44" s="45"/>
      <c r="I44" s="45"/>
      <c r="J44" s="39"/>
      <c r="K44" s="38"/>
      <c r="L44" s="8">
        <v>-32.966999999999999</v>
      </c>
      <c r="M44" s="38"/>
      <c r="N44" s="39"/>
      <c r="O44" s="45"/>
      <c r="P44" s="45"/>
      <c r="Q44" s="45"/>
      <c r="R44" s="45"/>
      <c r="S44" s="39"/>
    </row>
    <row r="45" spans="1:19" x14ac:dyDescent="0.35">
      <c r="A45" s="8">
        <v>18</v>
      </c>
      <c r="B45" s="38">
        <v>8.0730000000000004</v>
      </c>
      <c r="C45" s="8">
        <v>-20.895</v>
      </c>
      <c r="D45" s="38">
        <f t="shared" si="45"/>
        <v>-21.384499999999999</v>
      </c>
      <c r="E45" s="39">
        <f t="shared" ref="E45" si="115">(_xlfn.STDEV.S(C45:C46)/SQRT(2))/-D45</f>
        <v>2.2890411279197529E-2</v>
      </c>
      <c r="F45" s="45">
        <f t="shared" ref="F45" si="116">D45/1000</f>
        <v>-2.1384500000000001E-2</v>
      </c>
      <c r="G45" s="45">
        <f>-(F45*$V$7*$V$8)/($V$9*$V$10*$V$11*10^-3)</f>
        <v>288.15226545393301</v>
      </c>
      <c r="H45" s="45">
        <f t="shared" ref="H45" si="117">G45/B45</f>
        <v>35.693331531516534</v>
      </c>
      <c r="I45" s="45"/>
      <c r="J45" s="39"/>
      <c r="K45" s="38">
        <v>8.317499999999999</v>
      </c>
      <c r="L45" s="8">
        <v>-28.747</v>
      </c>
      <c r="M45" s="38">
        <f t="shared" ref="M45" si="118">AVERAGE(L45:L46)</f>
        <v>-31.599</v>
      </c>
      <c r="N45" s="39">
        <f t="shared" ref="N45" si="119">(_xlfn.STDEV.S(L45:L46)/SQRT(2))/-M45</f>
        <v>9.0256020760150629E-2</v>
      </c>
      <c r="O45" s="45">
        <f t="shared" ref="O45" si="120">M45/1000</f>
        <v>-3.1599000000000002E-2</v>
      </c>
      <c r="P45" s="45">
        <f t="shared" ref="P45" si="121">-(O45*$V$7*$V$8)/($V$9*$V$10*$V$11*10^-3)</f>
        <v>425.79080343607887</v>
      </c>
      <c r="Q45" s="45">
        <f t="shared" ref="Q45" si="122">P45/K45</f>
        <v>51.192161519215979</v>
      </c>
      <c r="R45" s="45"/>
      <c r="S45" s="39"/>
    </row>
    <row r="46" spans="1:19" x14ac:dyDescent="0.35">
      <c r="A46" s="8">
        <v>18</v>
      </c>
      <c r="B46" s="38"/>
      <c r="C46" s="8">
        <v>-21.873999999999999</v>
      </c>
      <c r="D46" s="38"/>
      <c r="E46" s="39"/>
      <c r="F46" s="45"/>
      <c r="G46" s="45"/>
      <c r="H46" s="45"/>
      <c r="I46" s="45"/>
      <c r="J46" s="39"/>
      <c r="K46" s="38"/>
      <c r="L46" s="8">
        <v>-34.451000000000001</v>
      </c>
      <c r="M46" s="38"/>
      <c r="N46" s="39"/>
      <c r="O46" s="45"/>
      <c r="P46" s="45"/>
      <c r="Q46" s="45"/>
      <c r="R46" s="45"/>
      <c r="S46" s="39"/>
    </row>
    <row r="47" spans="1:19" x14ac:dyDescent="0.35">
      <c r="A47" s="8">
        <v>19</v>
      </c>
      <c r="B47" s="38">
        <v>7.1744999999999992</v>
      </c>
      <c r="C47" s="8">
        <v>-15.773</v>
      </c>
      <c r="D47" s="38">
        <f t="shared" si="53"/>
        <v>-18.25</v>
      </c>
      <c r="E47" s="39">
        <f t="shared" ref="E47" si="123">(_xlfn.STDEV.S(C47:C48)/SQRT(2))/-D47</f>
        <v>0.13572602739726047</v>
      </c>
      <c r="F47" s="45">
        <f t="shared" ref="F47" si="124">D47/1000</f>
        <v>-1.8249999999999999E-2</v>
      </c>
      <c r="G47" s="45">
        <f>-(F47*$V$7*$V$8)/($V$9*$V$10*$V$11*10^-3)</f>
        <v>245.91544551120097</v>
      </c>
      <c r="H47" s="45">
        <f t="shared" ref="H47" si="125">G47/B47</f>
        <v>34.276318281580735</v>
      </c>
      <c r="I47" s="45"/>
      <c r="J47" s="39"/>
      <c r="K47" s="38">
        <v>6.5549999999999997</v>
      </c>
      <c r="L47" s="8">
        <v>-34.121000000000002</v>
      </c>
      <c r="M47" s="38">
        <f t="shared" ref="M47" si="126">AVERAGE(L47:L48)</f>
        <v>-35.983499999999999</v>
      </c>
      <c r="N47" s="39">
        <f t="shared" ref="N47" si="127">(_xlfn.STDEV.S(L47:L48)/SQRT(2))/-M47</f>
        <v>5.1759834368529933E-2</v>
      </c>
      <c r="O47" s="45">
        <f t="shared" ref="O47" si="128">M47/1000</f>
        <v>-3.5983500000000002E-2</v>
      </c>
      <c r="P47" s="45">
        <f t="shared" ref="P47" si="129">-(O47*$V$7*$V$8)/($V$9*$V$10*$V$11*10^-3)</f>
        <v>484.87114704396163</v>
      </c>
      <c r="Q47" s="45">
        <f t="shared" ref="Q47" si="130">P47/K47</f>
        <v>73.969663927377823</v>
      </c>
      <c r="R47" s="45"/>
      <c r="S47" s="39"/>
    </row>
    <row r="48" spans="1:19" x14ac:dyDescent="0.35">
      <c r="A48" s="8">
        <v>19</v>
      </c>
      <c r="B48" s="38"/>
      <c r="C48" s="8">
        <v>-20.727</v>
      </c>
      <c r="D48" s="38"/>
      <c r="E48" s="39"/>
      <c r="F48" s="45"/>
      <c r="G48" s="45"/>
      <c r="H48" s="45"/>
      <c r="I48" s="45"/>
      <c r="J48" s="39"/>
      <c r="K48" s="38"/>
      <c r="L48" s="8">
        <v>-37.845999999999997</v>
      </c>
      <c r="M48" s="38"/>
      <c r="N48" s="39"/>
      <c r="O48" s="45"/>
      <c r="P48" s="45"/>
      <c r="Q48" s="45"/>
      <c r="R48" s="45"/>
      <c r="S48" s="39"/>
    </row>
    <row r="49" spans="1:19" x14ac:dyDescent="0.35">
      <c r="A49" s="8">
        <v>20</v>
      </c>
      <c r="B49" s="58">
        <v>5.5470000000000006</v>
      </c>
      <c r="C49" s="59">
        <v>-20.824000000000002</v>
      </c>
      <c r="D49" s="58">
        <f t="shared" si="65"/>
        <v>-20.604500000000002</v>
      </c>
      <c r="E49" s="60">
        <f t="shared" ref="E49" si="131">(_xlfn.STDEV.S(C49:C50)/SQRT(2))/-D49</f>
        <v>1.0653012691402362E-2</v>
      </c>
      <c r="F49" s="61">
        <f t="shared" ref="F49" si="132">D49/1000</f>
        <v>-2.0604500000000001E-2</v>
      </c>
      <c r="G49" s="61">
        <f>-(F49*$V$7*$V$8)/($V$9*$V$10*$V$11*10^-3)</f>
        <v>277.64190668687894</v>
      </c>
      <c r="H49" s="62">
        <f t="shared" ref="H49" si="133">G49/B49</f>
        <v>50.052624244975469</v>
      </c>
      <c r="I49" s="45"/>
      <c r="J49" s="39"/>
      <c r="K49" s="38">
        <v>7.0215000000000005</v>
      </c>
      <c r="L49" s="8">
        <v>-30.462</v>
      </c>
      <c r="M49" s="38">
        <f t="shared" ref="M49" si="134">AVERAGE(L49:L50)</f>
        <v>-38.61</v>
      </c>
      <c r="N49" s="39">
        <f t="shared" ref="N49" si="135">(_xlfn.STDEV.S(L49:L50)/SQRT(2))/-M49</f>
        <v>0.21103341103341158</v>
      </c>
      <c r="O49" s="45">
        <f t="shared" ref="O49" si="136">M49/1000</f>
        <v>-3.8609999999999998E-2</v>
      </c>
      <c r="P49" s="45">
        <f t="shared" ref="P49" si="137">-(O49*$V$7*$V$8)/($V$9*$V$10*$V$11*10^-3)</f>
        <v>520.26275896917639</v>
      </c>
      <c r="Q49" s="45">
        <f t="shared" ref="Q49" si="138">P49/K49</f>
        <v>74.095671718176504</v>
      </c>
      <c r="R49" s="45"/>
      <c r="S49" s="39"/>
    </row>
    <row r="50" spans="1:19" x14ac:dyDescent="0.35">
      <c r="A50" s="8">
        <v>20</v>
      </c>
      <c r="B50" s="58"/>
      <c r="C50" s="59">
        <v>-20.385000000000002</v>
      </c>
      <c r="D50" s="58"/>
      <c r="E50" s="60"/>
      <c r="F50" s="61"/>
      <c r="G50" s="61"/>
      <c r="H50" s="62"/>
      <c r="I50" s="45"/>
      <c r="J50" s="39"/>
      <c r="K50" s="38"/>
      <c r="L50" s="8">
        <v>-46.758000000000003</v>
      </c>
      <c r="M50" s="38"/>
      <c r="N50" s="39"/>
      <c r="O50" s="45"/>
      <c r="P50" s="45"/>
      <c r="Q50" s="45"/>
      <c r="R50" s="45"/>
      <c r="S50" s="39"/>
    </row>
  </sheetData>
  <mergeCells count="262">
    <mergeCell ref="K3:K6"/>
    <mergeCell ref="K7:K10"/>
    <mergeCell ref="K11:K14"/>
    <mergeCell ref="K15:K18"/>
    <mergeCell ref="B47:B48"/>
    <mergeCell ref="B49:B50"/>
    <mergeCell ref="B21:B22"/>
    <mergeCell ref="B23:B24"/>
    <mergeCell ref="B25:B26"/>
    <mergeCell ref="B27:B28"/>
    <mergeCell ref="K19:K20"/>
    <mergeCell ref="K21:K22"/>
    <mergeCell ref="K23:K24"/>
    <mergeCell ref="K25:K26"/>
    <mergeCell ref="K27:K28"/>
    <mergeCell ref="K29:K30"/>
    <mergeCell ref="K31:K32"/>
    <mergeCell ref="K33:K34"/>
    <mergeCell ref="K35:K36"/>
    <mergeCell ref="K37:K38"/>
    <mergeCell ref="K39:K40"/>
    <mergeCell ref="K41:K42"/>
    <mergeCell ref="K43:K44"/>
    <mergeCell ref="B29:B30"/>
    <mergeCell ref="B31:B32"/>
    <mergeCell ref="B33:B34"/>
    <mergeCell ref="B35:B36"/>
    <mergeCell ref="B37:B38"/>
    <mergeCell ref="B39:B40"/>
    <mergeCell ref="B41:B42"/>
    <mergeCell ref="B43:B44"/>
    <mergeCell ref="B45:B46"/>
    <mergeCell ref="B3:B6"/>
    <mergeCell ref="B7:B10"/>
    <mergeCell ref="B11:B14"/>
    <mergeCell ref="B15:B18"/>
    <mergeCell ref="B19:B20"/>
    <mergeCell ref="R41:R50"/>
    <mergeCell ref="S41:S50"/>
    <mergeCell ref="P43:P44"/>
    <mergeCell ref="P45:P46"/>
    <mergeCell ref="P47:P48"/>
    <mergeCell ref="P49:P50"/>
    <mergeCell ref="P31:P32"/>
    <mergeCell ref="R31:R40"/>
    <mergeCell ref="S31:S40"/>
    <mergeCell ref="P33:P34"/>
    <mergeCell ref="P35:P36"/>
    <mergeCell ref="P37:P38"/>
    <mergeCell ref="P39:P40"/>
    <mergeCell ref="Q31:Q32"/>
    <mergeCell ref="Q33:Q34"/>
    <mergeCell ref="Q35:Q36"/>
    <mergeCell ref="Q37:Q38"/>
    <mergeCell ref="Q39:Q40"/>
    <mergeCell ref="R21:R30"/>
    <mergeCell ref="S21:S30"/>
    <mergeCell ref="P23:P24"/>
    <mergeCell ref="P25:P26"/>
    <mergeCell ref="P27:P28"/>
    <mergeCell ref="P29:P30"/>
    <mergeCell ref="Q21:Q22"/>
    <mergeCell ref="Q23:Q24"/>
    <mergeCell ref="Q25:Q26"/>
    <mergeCell ref="Q27:Q28"/>
    <mergeCell ref="Q29:Q30"/>
    <mergeCell ref="O31:O32"/>
    <mergeCell ref="O33:O34"/>
    <mergeCell ref="O35:O36"/>
    <mergeCell ref="O37:O38"/>
    <mergeCell ref="O39:O40"/>
    <mergeCell ref="P15:P18"/>
    <mergeCell ref="P19:P20"/>
    <mergeCell ref="P21:P22"/>
    <mergeCell ref="P41:P42"/>
    <mergeCell ref="O25:O26"/>
    <mergeCell ref="O27:O28"/>
    <mergeCell ref="O29:O30"/>
    <mergeCell ref="N43:N44"/>
    <mergeCell ref="N45:N46"/>
    <mergeCell ref="N47:N48"/>
    <mergeCell ref="O41:O42"/>
    <mergeCell ref="O43:O44"/>
    <mergeCell ref="O45:O46"/>
    <mergeCell ref="O47:O48"/>
    <mergeCell ref="N49:N50"/>
    <mergeCell ref="O49:O50"/>
    <mergeCell ref="N31:N32"/>
    <mergeCell ref="N33:N34"/>
    <mergeCell ref="N35:N36"/>
    <mergeCell ref="N37:N38"/>
    <mergeCell ref="N39:N40"/>
    <mergeCell ref="M47:M48"/>
    <mergeCell ref="M49:M50"/>
    <mergeCell ref="N3:N4"/>
    <mergeCell ref="N5:N6"/>
    <mergeCell ref="N7:N8"/>
    <mergeCell ref="N9:N10"/>
    <mergeCell ref="N11:N12"/>
    <mergeCell ref="N13:N14"/>
    <mergeCell ref="N15:N16"/>
    <mergeCell ref="N17:N18"/>
    <mergeCell ref="N19:N20"/>
    <mergeCell ref="N21:N22"/>
    <mergeCell ref="N23:N24"/>
    <mergeCell ref="N25:N26"/>
    <mergeCell ref="N27:N28"/>
    <mergeCell ref="N29:N30"/>
    <mergeCell ref="M37:M38"/>
    <mergeCell ref="M39:M40"/>
    <mergeCell ref="N41:N42"/>
    <mergeCell ref="J41:J50"/>
    <mergeCell ref="M3:M4"/>
    <mergeCell ref="M7:M8"/>
    <mergeCell ref="M11:M12"/>
    <mergeCell ref="M15:M16"/>
    <mergeCell ref="M19:M20"/>
    <mergeCell ref="M21:M22"/>
    <mergeCell ref="M23:M24"/>
    <mergeCell ref="M25:M26"/>
    <mergeCell ref="M27:M28"/>
    <mergeCell ref="M29:M30"/>
    <mergeCell ref="M31:M32"/>
    <mergeCell ref="M33:M34"/>
    <mergeCell ref="M35:M36"/>
    <mergeCell ref="K45:K46"/>
    <mergeCell ref="K47:K48"/>
    <mergeCell ref="K49:K50"/>
    <mergeCell ref="F49:F50"/>
    <mergeCell ref="G49:G50"/>
    <mergeCell ref="I3:I20"/>
    <mergeCell ref="I21:I30"/>
    <mergeCell ref="I31:I40"/>
    <mergeCell ref="I41:I50"/>
    <mergeCell ref="F45:F46"/>
    <mergeCell ref="G45:G46"/>
    <mergeCell ref="F47:F48"/>
    <mergeCell ref="G47:G48"/>
    <mergeCell ref="F41:F42"/>
    <mergeCell ref="G41:G42"/>
    <mergeCell ref="F43:F44"/>
    <mergeCell ref="G43:G44"/>
    <mergeCell ref="F37:F38"/>
    <mergeCell ref="G37:G38"/>
    <mergeCell ref="F39:F40"/>
    <mergeCell ref="G39:G40"/>
    <mergeCell ref="F33:F34"/>
    <mergeCell ref="G33:G34"/>
    <mergeCell ref="F35:F36"/>
    <mergeCell ref="G35:G36"/>
    <mergeCell ref="F29:F30"/>
    <mergeCell ref="G29:G30"/>
    <mergeCell ref="E49:E50"/>
    <mergeCell ref="F3:F6"/>
    <mergeCell ref="G3:G6"/>
    <mergeCell ref="F7:F10"/>
    <mergeCell ref="G7:G10"/>
    <mergeCell ref="F11:F14"/>
    <mergeCell ref="G11:G14"/>
    <mergeCell ref="F15:F18"/>
    <mergeCell ref="G15:G18"/>
    <mergeCell ref="F19:F20"/>
    <mergeCell ref="G19:G20"/>
    <mergeCell ref="E39:E40"/>
    <mergeCell ref="E41:E42"/>
    <mergeCell ref="E43:E44"/>
    <mergeCell ref="E45:E46"/>
    <mergeCell ref="E47:E48"/>
    <mergeCell ref="F31:F32"/>
    <mergeCell ref="G31:G32"/>
    <mergeCell ref="F25:F26"/>
    <mergeCell ref="G25:G26"/>
    <mergeCell ref="F27:F28"/>
    <mergeCell ref="G27:G28"/>
    <mergeCell ref="F21:F22"/>
    <mergeCell ref="G21:G22"/>
    <mergeCell ref="D47:D48"/>
    <mergeCell ref="D49:D50"/>
    <mergeCell ref="E3:E6"/>
    <mergeCell ref="E7:E10"/>
    <mergeCell ref="E11:E14"/>
    <mergeCell ref="E15:E18"/>
    <mergeCell ref="E19:E20"/>
    <mergeCell ref="E21:E22"/>
    <mergeCell ref="E23:E24"/>
    <mergeCell ref="E25:E26"/>
    <mergeCell ref="E27:E28"/>
    <mergeCell ref="E29:E30"/>
    <mergeCell ref="E31:E32"/>
    <mergeCell ref="E33:E34"/>
    <mergeCell ref="E35:E36"/>
    <mergeCell ref="E37:E38"/>
    <mergeCell ref="D37:D38"/>
    <mergeCell ref="D39:D40"/>
    <mergeCell ref="D41:D42"/>
    <mergeCell ref="D43:D44"/>
    <mergeCell ref="D45:D46"/>
    <mergeCell ref="D27:D28"/>
    <mergeCell ref="D29:D30"/>
    <mergeCell ref="D31:D32"/>
    <mergeCell ref="D33:D34"/>
    <mergeCell ref="D35:D36"/>
    <mergeCell ref="D15:D18"/>
    <mergeCell ref="D19:D20"/>
    <mergeCell ref="D21:D22"/>
    <mergeCell ref="D23:D24"/>
    <mergeCell ref="D25:D26"/>
    <mergeCell ref="C1:J1"/>
    <mergeCell ref="D3:D6"/>
    <mergeCell ref="D7:D10"/>
    <mergeCell ref="D11:D14"/>
    <mergeCell ref="J3:J20"/>
    <mergeCell ref="H3:H6"/>
    <mergeCell ref="F23:F24"/>
    <mergeCell ref="G23:G24"/>
    <mergeCell ref="J21:J30"/>
    <mergeCell ref="J31:J40"/>
    <mergeCell ref="H7:H10"/>
    <mergeCell ref="H11:H14"/>
    <mergeCell ref="H15:H18"/>
    <mergeCell ref="H19:H20"/>
    <mergeCell ref="H21:H22"/>
    <mergeCell ref="H23:H24"/>
    <mergeCell ref="H25:H26"/>
    <mergeCell ref="H27:H28"/>
    <mergeCell ref="H29:H30"/>
    <mergeCell ref="H31:H32"/>
    <mergeCell ref="H33:H34"/>
    <mergeCell ref="H35:H36"/>
    <mergeCell ref="H37:H38"/>
    <mergeCell ref="H49:H50"/>
    <mergeCell ref="Q49:Q50"/>
    <mergeCell ref="Q3:Q6"/>
    <mergeCell ref="Q7:Q10"/>
    <mergeCell ref="Q11:Q14"/>
    <mergeCell ref="Q15:Q18"/>
    <mergeCell ref="Q19:Q20"/>
    <mergeCell ref="H39:H40"/>
    <mergeCell ref="H41:H42"/>
    <mergeCell ref="H43:H44"/>
    <mergeCell ref="H45:H46"/>
    <mergeCell ref="H47:H48"/>
    <mergeCell ref="K1:S1"/>
    <mergeCell ref="Q41:Q42"/>
    <mergeCell ref="Q43:Q44"/>
    <mergeCell ref="Q45:Q46"/>
    <mergeCell ref="Q47:Q48"/>
    <mergeCell ref="O3:O6"/>
    <mergeCell ref="O7:O10"/>
    <mergeCell ref="O11:O14"/>
    <mergeCell ref="O15:O18"/>
    <mergeCell ref="O19:O20"/>
    <mergeCell ref="P3:P6"/>
    <mergeCell ref="R3:R20"/>
    <mergeCell ref="S3:S20"/>
    <mergeCell ref="P7:P10"/>
    <mergeCell ref="P11:P14"/>
    <mergeCell ref="M41:M42"/>
    <mergeCell ref="M43:M44"/>
    <mergeCell ref="M45:M46"/>
    <mergeCell ref="O21:O22"/>
    <mergeCell ref="O23:O24"/>
  </mergeCells>
  <conditionalFormatting sqref="B2">
    <cfRule type="beginsWith" dxfId="3" priority="2" operator="beginsWith" text="NA">
      <formula>LEFT(B2,LEN("NA"))="NA"</formula>
    </cfRule>
  </conditionalFormatting>
  <conditionalFormatting sqref="K2">
    <cfRule type="beginsWith" dxfId="2" priority="1" operator="beginsWith" text="NA">
      <formula>LEFT(K2,LEN("NA"))="NA"</formula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3BB1F-A466-48F0-ADE4-9FFEFA23D264}">
  <dimension ref="A1:W42"/>
  <sheetViews>
    <sheetView topLeftCell="A14" zoomScale="70" zoomScaleNormal="70" workbookViewId="0">
      <selection activeCell="Q3" sqref="Q3:Q42"/>
    </sheetView>
  </sheetViews>
  <sheetFormatPr baseColWidth="10" defaultRowHeight="14.5" x14ac:dyDescent="0.35"/>
  <cols>
    <col min="2" max="2" width="13.81640625" bestFit="1" customWidth="1"/>
    <col min="3" max="3" width="11.54296875" bestFit="1" customWidth="1"/>
    <col min="6" max="6" width="12.26953125" bestFit="1" customWidth="1"/>
    <col min="7" max="7" width="12.26953125" customWidth="1"/>
    <col min="8" max="8" width="15.36328125" bestFit="1" customWidth="1"/>
    <col min="9" max="9" width="15.08984375" bestFit="1" customWidth="1"/>
    <col min="10" max="10" width="12.7265625" customWidth="1"/>
    <col min="11" max="11" width="13.81640625" bestFit="1" customWidth="1"/>
    <col min="12" max="12" width="11.54296875" bestFit="1" customWidth="1"/>
    <col min="13" max="13" width="9.6328125" customWidth="1"/>
    <col min="14" max="14" width="8.26953125" bestFit="1" customWidth="1"/>
    <col min="16" max="16" width="13.90625" bestFit="1" customWidth="1"/>
    <col min="17" max="17" width="15.36328125" bestFit="1" customWidth="1"/>
    <col min="18" max="18" width="15.08984375" bestFit="1" customWidth="1"/>
  </cols>
  <sheetData>
    <row r="1" spans="1:23" x14ac:dyDescent="0.35">
      <c r="B1" s="50" t="s">
        <v>71</v>
      </c>
      <c r="C1" s="50"/>
      <c r="D1" s="50"/>
      <c r="E1" s="50"/>
      <c r="F1" s="50"/>
      <c r="G1" s="50"/>
      <c r="H1" s="50"/>
      <c r="I1" s="50"/>
      <c r="J1" s="50"/>
      <c r="K1" s="51" t="s">
        <v>72</v>
      </c>
      <c r="L1" s="51"/>
      <c r="M1" s="51"/>
      <c r="N1" s="51"/>
      <c r="O1" s="51"/>
      <c r="P1" s="51"/>
      <c r="Q1" s="51"/>
      <c r="R1" s="51"/>
      <c r="S1" s="51"/>
    </row>
    <row r="2" spans="1:23" x14ac:dyDescent="0.35">
      <c r="A2" s="11" t="s">
        <v>0</v>
      </c>
      <c r="B2" s="6" t="s">
        <v>88</v>
      </c>
      <c r="C2" s="6" t="s">
        <v>75</v>
      </c>
      <c r="D2" s="6" t="s">
        <v>74</v>
      </c>
      <c r="E2" s="6" t="s">
        <v>78</v>
      </c>
      <c r="F2" s="6" t="s">
        <v>76</v>
      </c>
      <c r="G2" s="6" t="s">
        <v>99</v>
      </c>
      <c r="H2" s="12" t="s">
        <v>90</v>
      </c>
      <c r="I2" s="12" t="s">
        <v>77</v>
      </c>
      <c r="J2" s="12" t="s">
        <v>78</v>
      </c>
      <c r="K2" s="6" t="s">
        <v>88</v>
      </c>
      <c r="L2" s="6" t="s">
        <v>73</v>
      </c>
      <c r="M2" s="6" t="s">
        <v>74</v>
      </c>
      <c r="N2" s="6" t="s">
        <v>78</v>
      </c>
      <c r="O2" s="6" t="s">
        <v>76</v>
      </c>
      <c r="P2" s="6" t="s">
        <v>123</v>
      </c>
      <c r="Q2" s="12" t="s">
        <v>90</v>
      </c>
      <c r="R2" s="12" t="s">
        <v>77</v>
      </c>
      <c r="S2" s="12" t="s">
        <v>78</v>
      </c>
    </row>
    <row r="3" spans="1:23" x14ac:dyDescent="0.35">
      <c r="A3" s="8">
        <v>1</v>
      </c>
      <c r="B3" s="38">
        <v>8.6940000000000008</v>
      </c>
      <c r="C3" s="18">
        <v>0.06</v>
      </c>
      <c r="D3" s="38">
        <f>AVERAGE(C4:C4)</f>
        <v>3.2469999999999999E-2</v>
      </c>
      <c r="E3" s="49" t="e">
        <f>(_xlfn.STDEV.S(C4:C4)/SQRT(1))/(D3)</f>
        <v>#DIV/0!</v>
      </c>
      <c r="F3" s="45">
        <f>(D3*$W$11*$W$10)/($W$12*$W$13*$W$14*10^-3)</f>
        <v>0.90194444444444444</v>
      </c>
      <c r="G3" s="37">
        <f>F3*1000</f>
        <v>901.94444444444446</v>
      </c>
      <c r="H3" s="68">
        <f>G3/B3</f>
        <v>103.74332234235615</v>
      </c>
      <c r="I3" s="69">
        <f>AVERAGE(H3:H12)</f>
        <v>74.081037024157212</v>
      </c>
      <c r="J3" s="70">
        <f>(_xlfn.STDEV.S(H3:H12)/SQRT(5))/(I3)</f>
        <v>0.13375342045678185</v>
      </c>
      <c r="K3" s="38">
        <v>4.3395000000000001</v>
      </c>
      <c r="L3" s="22">
        <v>7.4399999999999994E-2</v>
      </c>
      <c r="M3" s="38">
        <f>AVERAGE(L3:L4)</f>
        <v>7.3800000000000004E-2</v>
      </c>
      <c r="N3" s="39">
        <f t="shared" ref="N3" si="0">(_xlfn.STDEV.S(L3:L4)/SQRT(2))/(M3)</f>
        <v>8.1300813008129587E-3</v>
      </c>
      <c r="O3" s="45">
        <f>(M3*$W$11*$W$10)/($W$12*$W$13*$W$14*10^-3)</f>
        <v>2.0500000000000003</v>
      </c>
      <c r="P3" s="37">
        <f>O3*1000</f>
        <v>2050.0000000000005</v>
      </c>
      <c r="Q3" s="45">
        <f>P3/K3</f>
        <v>472.40465491416069</v>
      </c>
      <c r="R3" s="37">
        <f>AVERAGE(Q3:Q12)</f>
        <v>345.30350161051911</v>
      </c>
      <c r="S3" s="39">
        <f>(_xlfn.STDEV.S(Q3:Q12)/SQRT(5))/(R3)</f>
        <v>0.161239091682184</v>
      </c>
    </row>
    <row r="4" spans="1:23" x14ac:dyDescent="0.35">
      <c r="A4" s="8">
        <v>1</v>
      </c>
      <c r="B4" s="38"/>
      <c r="C4" s="19">
        <v>3.2469999999999999E-2</v>
      </c>
      <c r="D4" s="38"/>
      <c r="E4" s="49"/>
      <c r="F4" s="45"/>
      <c r="G4" s="37"/>
      <c r="H4" s="68"/>
      <c r="I4" s="69"/>
      <c r="J4" s="70"/>
      <c r="K4" s="38"/>
      <c r="L4" s="22">
        <v>7.3200000000000001E-2</v>
      </c>
      <c r="M4" s="38"/>
      <c r="N4" s="39"/>
      <c r="O4" s="45"/>
      <c r="P4" s="37"/>
      <c r="Q4" s="45"/>
      <c r="R4" s="37"/>
      <c r="S4" s="39"/>
    </row>
    <row r="5" spans="1:23" x14ac:dyDescent="0.35">
      <c r="A5" s="8">
        <v>2</v>
      </c>
      <c r="B5" s="38">
        <v>8.4495000000000005</v>
      </c>
      <c r="C5" s="18">
        <v>1.2E-2</v>
      </c>
      <c r="D5" s="38">
        <f>AVERAGE(C6:C6)</f>
        <v>2.486E-2</v>
      </c>
      <c r="E5" s="49" t="e">
        <f>(_xlfn.STDEV.S(C6:C6)/SQRT(1))/(D5)</f>
        <v>#DIV/0!</v>
      </c>
      <c r="F5" s="45">
        <f t="shared" ref="F5" si="1">(D5*$W$11*$W$10)/($W$12*$W$13*$W$14*10^-3)</f>
        <v>0.6905555555555557</v>
      </c>
      <c r="G5" s="37">
        <f t="shared" ref="G5" si="2">F5*1000</f>
        <v>690.55555555555566</v>
      </c>
      <c r="H5" s="68">
        <f t="shared" ref="H5" si="3">G5/B5</f>
        <v>81.727386893373051</v>
      </c>
      <c r="I5" s="69"/>
      <c r="J5" s="70"/>
      <c r="K5" s="38">
        <v>4.6935000000000002</v>
      </c>
      <c r="L5" s="22">
        <v>3.9539999999999999E-2</v>
      </c>
      <c r="M5" s="38">
        <f t="shared" ref="M5" si="4">AVERAGE(L5:L6)</f>
        <v>3.5574999999999996E-2</v>
      </c>
      <c r="N5" s="39">
        <f t="shared" ref="N5" si="5">(_xlfn.STDEV.S(L5:L6)/SQRT(2))/(M5)</f>
        <v>0.11145467322557974</v>
      </c>
      <c r="O5" s="45">
        <f t="shared" ref="O5" si="6">(M5*$W$11*$W$10)/($W$12*$W$13*$W$14*10^-3)</f>
        <v>0.98819444444444449</v>
      </c>
      <c r="P5" s="37">
        <f t="shared" ref="P5" si="7">O5*1000</f>
        <v>988.19444444444446</v>
      </c>
      <c r="Q5" s="45">
        <f t="shared" ref="Q5" si="8">P5/K5</f>
        <v>210.5453168092989</v>
      </c>
      <c r="R5" s="37"/>
      <c r="S5" s="39"/>
    </row>
    <row r="6" spans="1:23" x14ac:dyDescent="0.35">
      <c r="A6" s="8">
        <v>2</v>
      </c>
      <c r="B6" s="38"/>
      <c r="C6" s="19">
        <v>2.486E-2</v>
      </c>
      <c r="D6" s="38"/>
      <c r="E6" s="49"/>
      <c r="F6" s="45"/>
      <c r="G6" s="37"/>
      <c r="H6" s="68"/>
      <c r="I6" s="69"/>
      <c r="J6" s="70"/>
      <c r="K6" s="38"/>
      <c r="L6" s="22">
        <v>3.1609999999999999E-2</v>
      </c>
      <c r="M6" s="38"/>
      <c r="N6" s="39"/>
      <c r="O6" s="45"/>
      <c r="P6" s="37"/>
      <c r="Q6" s="45"/>
      <c r="R6" s="37"/>
      <c r="S6" s="39"/>
    </row>
    <row r="7" spans="1:23" x14ac:dyDescent="0.35">
      <c r="A7" s="8">
        <v>3</v>
      </c>
      <c r="B7" s="38">
        <v>7.6635</v>
      </c>
      <c r="C7" s="19">
        <v>1.634E-2</v>
      </c>
      <c r="D7" s="38">
        <f t="shared" ref="D7" si="9">AVERAGE(C7:C8)</f>
        <v>1.4460000000000001E-2</v>
      </c>
      <c r="E7" s="39">
        <f t="shared" ref="E7" si="10">(_xlfn.STDEV.S(C7:C8)/SQRT(2))/(D7)</f>
        <v>0.13001383125864455</v>
      </c>
      <c r="F7" s="45">
        <f t="shared" ref="F7" si="11">(D7*$W$11*$W$10)/($W$12*$W$13*$W$14*10^-3)</f>
        <v>0.40166666666666673</v>
      </c>
      <c r="G7" s="37">
        <f t="shared" ref="G7" si="12">F7*1000</f>
        <v>401.66666666666674</v>
      </c>
      <c r="H7" s="68">
        <f t="shared" ref="H7" si="13">G7/B7</f>
        <v>52.412953176311966</v>
      </c>
      <c r="I7" s="69"/>
      <c r="J7" s="70"/>
      <c r="K7" s="38">
        <v>5.0489999999999995</v>
      </c>
      <c r="L7" s="22">
        <v>8.7999999999999995E-2</v>
      </c>
      <c r="M7" s="38">
        <f t="shared" ref="M7" si="14">AVERAGE(L7:L8)</f>
        <v>7.3999999999999996E-2</v>
      </c>
      <c r="N7" s="48">
        <f t="shared" ref="N7" si="15">(_xlfn.STDEV.S(L7:L8)/SQRT(2))/(M7)</f>
        <v>0.18918918918918959</v>
      </c>
      <c r="O7" s="45">
        <f t="shared" ref="O7" si="16">(M7*$W$11*$W$10)/($W$12*$W$13*$W$14*10^-3)</f>
        <v>2.0555555555555558</v>
      </c>
      <c r="P7" s="37">
        <f t="shared" ref="P7" si="17">O7*1000</f>
        <v>2055.5555555555557</v>
      </c>
      <c r="Q7" s="45">
        <f t="shared" ref="Q7" si="18">P7/K7</f>
        <v>407.12132215400197</v>
      </c>
      <c r="R7" s="37"/>
      <c r="S7" s="39"/>
    </row>
    <row r="8" spans="1:23" x14ac:dyDescent="0.35">
      <c r="A8" s="8">
        <v>3</v>
      </c>
      <c r="B8" s="38"/>
      <c r="C8" s="19">
        <v>1.2579999999999999E-2</v>
      </c>
      <c r="D8" s="38"/>
      <c r="E8" s="39"/>
      <c r="F8" s="45"/>
      <c r="G8" s="37"/>
      <c r="H8" s="68"/>
      <c r="I8" s="69"/>
      <c r="J8" s="70"/>
      <c r="K8" s="38"/>
      <c r="L8" s="22">
        <v>0.06</v>
      </c>
      <c r="M8" s="38"/>
      <c r="N8" s="48"/>
      <c r="O8" s="45"/>
      <c r="P8" s="37"/>
      <c r="Q8" s="45"/>
      <c r="R8" s="37"/>
      <c r="S8" s="39"/>
    </row>
    <row r="9" spans="1:23" x14ac:dyDescent="0.35">
      <c r="A9" s="8">
        <v>4</v>
      </c>
      <c r="B9" s="38">
        <v>7.8285</v>
      </c>
      <c r="C9" s="19">
        <v>1.6289999999999999E-2</v>
      </c>
      <c r="D9" s="38">
        <f t="shared" ref="D9" si="19">AVERAGE(C9:C10)</f>
        <v>1.4525E-2</v>
      </c>
      <c r="E9" s="39">
        <f t="shared" ref="E9" si="20">(_xlfn.STDEV.S(C9:C10)/SQRT(2))/(D9)</f>
        <v>0.12151462994836483</v>
      </c>
      <c r="F9" s="45">
        <f t="shared" ref="F9" si="21">(D9*$W$11*$W$10)/($W$12*$W$13*$W$14*10^-3)</f>
        <v>0.40347222222222223</v>
      </c>
      <c r="G9" s="37">
        <f t="shared" ref="G9" si="22">F9*1000</f>
        <v>403.47222222222223</v>
      </c>
      <c r="H9" s="68">
        <f t="shared" ref="H9" si="23">G9/B9</f>
        <v>51.538892792006415</v>
      </c>
      <c r="I9" s="69"/>
      <c r="J9" s="70"/>
      <c r="K9" s="38">
        <v>4.2285000000000004</v>
      </c>
      <c r="L9" s="22">
        <v>6.3100000000000003E-2</v>
      </c>
      <c r="M9" s="38">
        <f t="shared" ref="M9" si="24">AVERAGE(L9:L10)</f>
        <v>6.4549999999999996E-2</v>
      </c>
      <c r="N9" s="39">
        <f t="shared" ref="N9" si="25">(_xlfn.STDEV.S(L9:L10)/SQRT(2))/(M9)</f>
        <v>2.2463206816421374E-2</v>
      </c>
      <c r="O9" s="45">
        <f t="shared" ref="O9" si="26">(M9*$W$11*$W$10)/($W$12*$W$13*$W$14*10^-3)</f>
        <v>1.7930555555555556</v>
      </c>
      <c r="P9" s="37">
        <f t="shared" ref="P9" si="27">O9*1000</f>
        <v>1793.0555555555557</v>
      </c>
      <c r="Q9" s="45">
        <f t="shared" ref="Q9" si="28">P9/K9</f>
        <v>424.04057125589583</v>
      </c>
      <c r="R9" s="37"/>
      <c r="S9" s="39"/>
    </row>
    <row r="10" spans="1:23" x14ac:dyDescent="0.35">
      <c r="A10" s="8">
        <v>4</v>
      </c>
      <c r="B10" s="38"/>
      <c r="C10" s="19">
        <v>1.2760000000000001E-2</v>
      </c>
      <c r="D10" s="38"/>
      <c r="E10" s="39"/>
      <c r="F10" s="45"/>
      <c r="G10" s="37"/>
      <c r="H10" s="68"/>
      <c r="I10" s="69"/>
      <c r="J10" s="70"/>
      <c r="K10" s="38"/>
      <c r="L10" s="22">
        <v>6.6000000000000003E-2</v>
      </c>
      <c r="M10" s="38"/>
      <c r="N10" s="39"/>
      <c r="O10" s="45"/>
      <c r="P10" s="37"/>
      <c r="Q10" s="45"/>
      <c r="R10" s="37"/>
      <c r="S10" s="39"/>
      <c r="V10" s="21" t="s">
        <v>94</v>
      </c>
      <c r="W10">
        <v>8</v>
      </c>
    </row>
    <row r="11" spans="1:23" x14ac:dyDescent="0.35">
      <c r="A11" s="8">
        <v>5</v>
      </c>
      <c r="B11" s="38">
        <v>7.74</v>
      </c>
      <c r="C11" s="19">
        <v>2.24E-2</v>
      </c>
      <c r="D11" s="38">
        <f t="shared" ref="D11" si="29">AVERAGE(C11:C12)</f>
        <v>2.2565000000000002E-2</v>
      </c>
      <c r="E11" s="39">
        <f t="shared" ref="E11" si="30">(_xlfn.STDEV.S(C11:C12)/SQRT(2))/(D11)</f>
        <v>7.3122091734987892E-3</v>
      </c>
      <c r="F11" s="45">
        <f t="shared" ref="F11" si="31">(D11*$W$11*$W$10)/($W$12*$W$13*$W$14*10^-3)</f>
        <v>0.62680555555555562</v>
      </c>
      <c r="G11" s="37">
        <f t="shared" ref="G11" si="32">F11*1000</f>
        <v>626.80555555555566</v>
      </c>
      <c r="H11" s="68">
        <f t="shared" ref="H11" si="33">G11/B11</f>
        <v>80.98262991673846</v>
      </c>
      <c r="I11" s="69"/>
      <c r="J11" s="70"/>
      <c r="K11" s="38">
        <v>6.4544999999999995</v>
      </c>
      <c r="L11" s="22">
        <v>5.6570000000000002E-2</v>
      </c>
      <c r="M11" s="38">
        <f t="shared" ref="M11" si="34">AVERAGE(L11:L12)</f>
        <v>4.9354999999999996E-2</v>
      </c>
      <c r="N11" s="39">
        <f t="shared" ref="N11" si="35">(_xlfn.STDEV.S(L11:L12)/SQRT(2))/(M11)</f>
        <v>0.14618579677844243</v>
      </c>
      <c r="O11" s="45">
        <f t="shared" ref="O11" si="36">(M11*$W$11*$W$10)/($W$12*$W$13*$W$14*10^-3)</f>
        <v>1.3709722222222223</v>
      </c>
      <c r="P11" s="37">
        <f t="shared" ref="P11" si="37">O11*1000</f>
        <v>1370.9722222222222</v>
      </c>
      <c r="Q11" s="45">
        <f t="shared" ref="Q11" si="38">P11/K11</f>
        <v>212.40564291923809</v>
      </c>
      <c r="R11" s="37"/>
      <c r="S11" s="39"/>
      <c r="V11" s="21" t="s">
        <v>95</v>
      </c>
      <c r="W11">
        <v>0.2</v>
      </c>
    </row>
    <row r="12" spans="1:23" x14ac:dyDescent="0.35">
      <c r="A12" s="8">
        <v>5</v>
      </c>
      <c r="B12" s="38"/>
      <c r="C12" s="19">
        <v>2.273E-2</v>
      </c>
      <c r="D12" s="38"/>
      <c r="E12" s="39"/>
      <c r="F12" s="45"/>
      <c r="G12" s="37"/>
      <c r="H12" s="68"/>
      <c r="I12" s="69"/>
      <c r="J12" s="70"/>
      <c r="K12" s="38"/>
      <c r="L12" s="22">
        <v>4.2139999999999997E-2</v>
      </c>
      <c r="M12" s="38"/>
      <c r="N12" s="39"/>
      <c r="O12" s="45"/>
      <c r="P12" s="37"/>
      <c r="Q12" s="45"/>
      <c r="R12" s="37"/>
      <c r="S12" s="39"/>
      <c r="V12" s="21" t="s">
        <v>96</v>
      </c>
      <c r="W12">
        <v>9600</v>
      </c>
    </row>
    <row r="13" spans="1:23" x14ac:dyDescent="0.35">
      <c r="A13" s="8">
        <v>6</v>
      </c>
      <c r="B13" s="38">
        <v>8.5934999999999988</v>
      </c>
      <c r="C13" s="19">
        <v>1.7600000000000001E-2</v>
      </c>
      <c r="D13" s="38">
        <f t="shared" ref="D13" si="39">AVERAGE(C13:C14)</f>
        <v>1.7600000000000001E-2</v>
      </c>
      <c r="E13" s="39">
        <f t="shared" ref="E13" si="40">(_xlfn.STDEV.S(C13:C14)/SQRT(2))/(D13)</f>
        <v>0</v>
      </c>
      <c r="F13" s="45">
        <f t="shared" ref="F13" si="41">(D13*$W$11*$W$10)/($W$12*$W$13*$W$14*10^-3)</f>
        <v>0.48888888888888898</v>
      </c>
      <c r="G13" s="37">
        <f t="shared" ref="G13" si="42">F13*1000</f>
        <v>488.88888888888897</v>
      </c>
      <c r="H13" s="68">
        <f t="shared" ref="H13" si="43">G13/B13</f>
        <v>56.890543886529244</v>
      </c>
      <c r="I13" s="69">
        <f t="shared" ref="I13" si="44">AVERAGE(H13:H22)</f>
        <v>65.047545594079978</v>
      </c>
      <c r="J13" s="71">
        <f t="shared" ref="J13" si="45">(_xlfn.STDEV.S(H13:H22)/SQRT(5))/(I13)</f>
        <v>0.10760552496627028</v>
      </c>
      <c r="K13" s="38">
        <v>5.7900000000000009</v>
      </c>
      <c r="L13" s="23">
        <v>7.4800000000000005E-2</v>
      </c>
      <c r="M13" s="38">
        <f t="shared" ref="M13" si="46">AVERAGE(L13:L14)</f>
        <v>5.6755E-2</v>
      </c>
      <c r="N13" s="48">
        <f t="shared" ref="N13" si="47">(_xlfn.STDEV.S(L13:L14)/SQRT(2))/(M13)</f>
        <v>0.31794555545766923</v>
      </c>
      <c r="O13" s="45">
        <f t="shared" ref="O13" si="48">(M13*$W$11*$W$10)/($W$12*$W$13*$W$14*10^-3)</f>
        <v>1.5765277777777778</v>
      </c>
      <c r="P13" s="37">
        <f t="shared" ref="P13" si="49">O13*1000</f>
        <v>1576.5277777777778</v>
      </c>
      <c r="Q13" s="45">
        <f t="shared" ref="Q13" si="50">P13/K13</f>
        <v>272.28459028977159</v>
      </c>
      <c r="R13" s="37">
        <f t="shared" ref="R13" si="51">AVERAGE(Q13:Q22)</f>
        <v>222.47778243965215</v>
      </c>
      <c r="S13" s="39">
        <f t="shared" ref="S13" si="52">(_xlfn.STDEV.S(Q13:Q22)/SQRT(5))/(R13)</f>
        <v>0.12345810236506843</v>
      </c>
      <c r="V13" s="21" t="s">
        <v>97</v>
      </c>
      <c r="W13">
        <v>0.01</v>
      </c>
    </row>
    <row r="14" spans="1:23" x14ac:dyDescent="0.35">
      <c r="A14" s="8">
        <v>6</v>
      </c>
      <c r="B14" s="38"/>
      <c r="C14" s="19">
        <v>1.7600000000000001E-2</v>
      </c>
      <c r="D14" s="38"/>
      <c r="E14" s="39"/>
      <c r="F14" s="45"/>
      <c r="G14" s="37"/>
      <c r="H14" s="68"/>
      <c r="I14" s="69"/>
      <c r="J14" s="71"/>
      <c r="K14" s="38"/>
      <c r="L14" s="23">
        <v>3.8710000000000001E-2</v>
      </c>
      <c r="M14" s="38"/>
      <c r="N14" s="48"/>
      <c r="O14" s="45"/>
      <c r="P14" s="37"/>
      <c r="Q14" s="45"/>
      <c r="R14" s="37"/>
      <c r="S14" s="39"/>
      <c r="V14" s="21" t="s">
        <v>98</v>
      </c>
      <c r="W14">
        <v>0.6</v>
      </c>
    </row>
    <row r="15" spans="1:23" x14ac:dyDescent="0.35">
      <c r="A15" s="8">
        <v>7</v>
      </c>
      <c r="B15" s="38">
        <v>7.4744999999999999</v>
      </c>
      <c r="C15" s="19">
        <v>1.404E-2</v>
      </c>
      <c r="D15" s="38">
        <f t="shared" ref="D15" si="53">AVERAGE(C15:C16)</f>
        <v>1.5090000000000001E-2</v>
      </c>
      <c r="E15" s="39">
        <f t="shared" ref="E15" si="54">(_xlfn.STDEV.S(C15:C16)/SQRT(2))/(D15)</f>
        <v>6.9582504970178954E-2</v>
      </c>
      <c r="F15" s="45">
        <f t="shared" ref="F15" si="55">(D15*$W$11*$W$10)/($W$12*$W$13*$W$14*10^-3)</f>
        <v>0.41916666666666674</v>
      </c>
      <c r="G15" s="37">
        <f t="shared" ref="G15" si="56">F15*1000</f>
        <v>419.16666666666674</v>
      </c>
      <c r="H15" s="68">
        <f t="shared" ref="H15" si="57">G15/B15</f>
        <v>56.079559390817678</v>
      </c>
      <c r="I15" s="69"/>
      <c r="J15" s="71"/>
      <c r="K15" s="38">
        <v>4.5284999999999993</v>
      </c>
      <c r="L15" s="22">
        <v>2.103E-2</v>
      </c>
      <c r="M15" s="38">
        <f t="shared" ref="M15" si="58">AVERAGE(L15:L16)</f>
        <v>2.5160000000000002E-2</v>
      </c>
      <c r="N15" s="39">
        <f t="shared" ref="N15" si="59">(_xlfn.STDEV.S(L15:L16)/SQRT(2))/(M15)</f>
        <v>0.16414944356120811</v>
      </c>
      <c r="O15" s="45">
        <f t="shared" ref="O15" si="60">(M15*$W$11*$W$10)/($W$12*$W$13*$W$14*10^-3)</f>
        <v>0.698888888888889</v>
      </c>
      <c r="P15" s="37">
        <f t="shared" ref="P15" si="61">O15*1000</f>
        <v>698.88888888888903</v>
      </c>
      <c r="Q15" s="45">
        <f t="shared" ref="Q15" si="62">P15/K15</f>
        <v>154.33121097248298</v>
      </c>
      <c r="R15" s="37"/>
      <c r="S15" s="39"/>
    </row>
    <row r="16" spans="1:23" x14ac:dyDescent="0.35">
      <c r="A16" s="8">
        <v>7</v>
      </c>
      <c r="B16" s="38"/>
      <c r="C16" s="19">
        <v>1.6140000000000002E-2</v>
      </c>
      <c r="D16" s="38"/>
      <c r="E16" s="39"/>
      <c r="F16" s="45"/>
      <c r="G16" s="37"/>
      <c r="H16" s="68"/>
      <c r="I16" s="69"/>
      <c r="J16" s="71"/>
      <c r="K16" s="38"/>
      <c r="L16" s="22">
        <v>2.929E-2</v>
      </c>
      <c r="M16" s="38"/>
      <c r="N16" s="39"/>
      <c r="O16" s="45"/>
      <c r="P16" s="37"/>
      <c r="Q16" s="45"/>
      <c r="R16" s="37"/>
      <c r="S16" s="39"/>
    </row>
    <row r="17" spans="1:19" x14ac:dyDescent="0.35">
      <c r="A17" s="8">
        <v>8</v>
      </c>
      <c r="B17" s="38">
        <v>6.5880000000000001</v>
      </c>
      <c r="C17" s="19">
        <v>1.451E-2</v>
      </c>
      <c r="D17" s="38">
        <f t="shared" ref="D17" si="63">AVERAGE(C17:C18)</f>
        <v>1.3934999999999999E-2</v>
      </c>
      <c r="E17" s="39">
        <f t="shared" ref="E17" si="64">(_xlfn.STDEV.S(C17:C18)/SQRT(2))/(D17)</f>
        <v>4.1263006817366346E-2</v>
      </c>
      <c r="F17" s="45">
        <f t="shared" ref="F17" si="65">(D17*$W$11*$W$10)/($W$12*$W$13*$W$14*10^-3)</f>
        <v>0.38708333333333333</v>
      </c>
      <c r="G17" s="37">
        <f t="shared" ref="G17" si="66">F17*1000</f>
        <v>387.08333333333331</v>
      </c>
      <c r="H17" s="68">
        <f t="shared" ref="H17" si="67">G17/B17</f>
        <v>58.755818660190243</v>
      </c>
      <c r="I17" s="69"/>
      <c r="J17" s="71"/>
      <c r="K17" s="58">
        <v>3.1095000000000002</v>
      </c>
      <c r="L17" s="63">
        <v>8.48E-2</v>
      </c>
      <c r="M17" s="64">
        <f t="shared" ref="M17" si="68">AVERAGE(L17:L18)</f>
        <v>8.0055000000000001E-2</v>
      </c>
      <c r="N17" s="65">
        <f t="shared" ref="N17" si="69">(_xlfn.STDEV.S(L17:L18)/SQRT(2))/(M17)</f>
        <v>5.9271750671413395E-2</v>
      </c>
      <c r="O17" s="61">
        <f t="shared" ref="O17" si="70">(M17*$W$11*$W$10)/($W$12*$W$13*$W$14*10^-3)</f>
        <v>2.2237500000000003</v>
      </c>
      <c r="P17" s="66">
        <f t="shared" ref="P17" si="71">O17*1000</f>
        <v>2223.7500000000005</v>
      </c>
      <c r="Q17" s="61" t="s">
        <v>93</v>
      </c>
      <c r="R17" s="37"/>
      <c r="S17" s="39"/>
    </row>
    <row r="18" spans="1:19" x14ac:dyDescent="0.35">
      <c r="A18" s="8">
        <v>8</v>
      </c>
      <c r="B18" s="38"/>
      <c r="C18" s="19">
        <v>1.336E-2</v>
      </c>
      <c r="D18" s="38"/>
      <c r="E18" s="39"/>
      <c r="F18" s="45"/>
      <c r="G18" s="37"/>
      <c r="H18" s="68"/>
      <c r="I18" s="69"/>
      <c r="J18" s="71"/>
      <c r="K18" s="58"/>
      <c r="L18" s="63">
        <v>7.5310000000000002E-2</v>
      </c>
      <c r="M18" s="64"/>
      <c r="N18" s="65"/>
      <c r="O18" s="61"/>
      <c r="P18" s="66"/>
      <c r="Q18" s="61"/>
      <c r="R18" s="37"/>
      <c r="S18" s="39"/>
    </row>
    <row r="19" spans="1:19" x14ac:dyDescent="0.35">
      <c r="A19" s="8">
        <v>9</v>
      </c>
      <c r="B19" s="58">
        <v>7.9169999999999989</v>
      </c>
      <c r="C19" s="72">
        <v>5.0860000000000002E-2</v>
      </c>
      <c r="D19" s="64">
        <f t="shared" ref="D19" si="72">AVERAGE(C19:C20)</f>
        <v>6.0784999999999999E-2</v>
      </c>
      <c r="E19" s="65">
        <f t="shared" ref="E19" si="73">(_xlfn.STDEV.S(C19:C20)/SQRT(2))/(D19)</f>
        <v>0.16328041457596421</v>
      </c>
      <c r="F19" s="73">
        <f t="shared" ref="F19" si="74">(D19*$W$11*$W$10)/($W$12*$W$13*$W$14*10^-3)</f>
        <v>1.6884722222222224</v>
      </c>
      <c r="G19" s="74">
        <f t="shared" ref="G19" si="75">F19*1000</f>
        <v>1688.4722222222224</v>
      </c>
      <c r="H19" s="67" t="s">
        <v>93</v>
      </c>
      <c r="I19" s="69"/>
      <c r="J19" s="71"/>
      <c r="K19" s="38">
        <v>4.782</v>
      </c>
      <c r="L19" s="22">
        <v>4.5199999999999997E-2</v>
      </c>
      <c r="M19" s="38">
        <f t="shared" ref="M19" si="76">AVERAGE(L19:L20)</f>
        <v>4.7600000000000003E-2</v>
      </c>
      <c r="N19" s="39">
        <f t="shared" ref="N19" si="77">(_xlfn.STDEV.S(L19:L20)/SQRT(2))/(M19)</f>
        <v>5.0420168067226941E-2</v>
      </c>
      <c r="O19" s="45">
        <f t="shared" ref="O19" si="78">(M19*$W$11*$W$10)/($W$12*$W$13*$W$14*10^-3)</f>
        <v>1.3222222222222224</v>
      </c>
      <c r="P19" s="37">
        <f t="shared" ref="P19" si="79">O19*1000</f>
        <v>1322.2222222222224</v>
      </c>
      <c r="Q19" s="45">
        <f t="shared" ref="Q19" si="80">P19/K19</f>
        <v>276.49983735303687</v>
      </c>
      <c r="R19" s="37"/>
      <c r="S19" s="39"/>
    </row>
    <row r="20" spans="1:19" x14ac:dyDescent="0.35">
      <c r="A20" s="8">
        <v>9</v>
      </c>
      <c r="B20" s="58"/>
      <c r="C20" s="72">
        <v>7.0709999999999995E-2</v>
      </c>
      <c r="D20" s="64"/>
      <c r="E20" s="65"/>
      <c r="F20" s="73"/>
      <c r="G20" s="74"/>
      <c r="H20" s="67"/>
      <c r="I20" s="69"/>
      <c r="J20" s="71"/>
      <c r="K20" s="38"/>
      <c r="L20" s="22">
        <v>0.05</v>
      </c>
      <c r="M20" s="38"/>
      <c r="N20" s="39"/>
      <c r="O20" s="45"/>
      <c r="P20" s="37"/>
      <c r="Q20" s="45"/>
      <c r="R20" s="37"/>
      <c r="S20" s="39"/>
    </row>
    <row r="21" spans="1:19" x14ac:dyDescent="0.35">
      <c r="A21" s="8">
        <v>10</v>
      </c>
      <c r="B21" s="38">
        <v>6.5940000000000003</v>
      </c>
      <c r="C21" s="19">
        <v>2.1000000000000001E-2</v>
      </c>
      <c r="D21" s="38">
        <f t="shared" ref="D21" si="81">AVERAGE(C21:C22)</f>
        <v>2.1000000000000001E-2</v>
      </c>
      <c r="E21" s="49" t="e">
        <f t="shared" ref="E21" si="82">(_xlfn.STDEV.S(C21:C22)/SQRT(2))/(D21)</f>
        <v>#DIV/0!</v>
      </c>
      <c r="F21" s="45">
        <f t="shared" ref="F21" si="83">(D21*$W$11*$W$10)/($W$12*$W$13*$W$14*10^-3)</f>
        <v>0.58333333333333348</v>
      </c>
      <c r="G21" s="37">
        <f t="shared" ref="G21" si="84">F21*1000</f>
        <v>583.33333333333348</v>
      </c>
      <c r="H21" s="68">
        <f t="shared" ref="H21" si="85">G21/B21</f>
        <v>88.464260438782745</v>
      </c>
      <c r="I21" s="69"/>
      <c r="J21" s="71"/>
      <c r="K21" s="38">
        <v>6.5549999999999997</v>
      </c>
      <c r="L21" s="22">
        <v>4.2290000000000001E-2</v>
      </c>
      <c r="M21" s="38">
        <f t="shared" ref="M21" si="86">AVERAGE(L21:L22)</f>
        <v>4.4080000000000001E-2</v>
      </c>
      <c r="N21" s="39">
        <f t="shared" ref="N21" si="87">(_xlfn.STDEV.S(L21:L22)/SQRT(2))/(M21)</f>
        <v>4.0607985480943735E-2</v>
      </c>
      <c r="O21" s="45">
        <f t="shared" ref="O21" si="88">(M21*$W$11*$W$10)/($W$12*$W$13*$W$14*10^-3)</f>
        <v>1.2244444444444447</v>
      </c>
      <c r="P21" s="37">
        <f t="shared" ref="P21" si="89">O21*1000</f>
        <v>1224.4444444444446</v>
      </c>
      <c r="Q21" s="45">
        <f t="shared" ref="Q21" si="90">P21/K21</f>
        <v>186.79549114331726</v>
      </c>
      <c r="R21" s="37"/>
      <c r="S21" s="39"/>
    </row>
    <row r="22" spans="1:19" x14ac:dyDescent="0.35">
      <c r="A22" s="8">
        <v>10</v>
      </c>
      <c r="B22" s="38"/>
      <c r="C22" s="20" t="s">
        <v>93</v>
      </c>
      <c r="D22" s="38"/>
      <c r="E22" s="49"/>
      <c r="F22" s="45"/>
      <c r="G22" s="37"/>
      <c r="H22" s="68"/>
      <c r="I22" s="69"/>
      <c r="J22" s="71"/>
      <c r="K22" s="38"/>
      <c r="L22" s="22">
        <v>4.5870000000000001E-2</v>
      </c>
      <c r="M22" s="38"/>
      <c r="N22" s="39"/>
      <c r="O22" s="45"/>
      <c r="P22" s="37"/>
      <c r="Q22" s="45"/>
      <c r="R22" s="37"/>
      <c r="S22" s="39"/>
    </row>
    <row r="23" spans="1:19" x14ac:dyDescent="0.35">
      <c r="A23" s="8">
        <v>11</v>
      </c>
      <c r="B23" s="38">
        <v>8.6610000000000014</v>
      </c>
      <c r="C23" s="19">
        <v>1.83E-2</v>
      </c>
      <c r="D23" s="38">
        <f t="shared" ref="D23" si="91">AVERAGE(C23:C24)</f>
        <v>2.0115000000000001E-2</v>
      </c>
      <c r="E23" s="39">
        <f t="shared" ref="E23" si="92">(_xlfn.STDEV.S(C23:C24)/SQRT(2))/(D23)</f>
        <v>9.0231170768083541E-2</v>
      </c>
      <c r="F23" s="45">
        <f t="shared" ref="F23" si="93">(D23*$W$11*$W$10)/($W$12*$W$13*$W$14*10^-3)</f>
        <v>0.55875000000000008</v>
      </c>
      <c r="G23" s="37">
        <f t="shared" ref="G23" si="94">F23*1000</f>
        <v>558.75000000000011</v>
      </c>
      <c r="H23" s="68">
        <f t="shared" ref="H23" si="95">G23/B23</f>
        <v>64.513335642535509</v>
      </c>
      <c r="I23" s="69">
        <f t="shared" ref="I23" si="96">AVERAGE(H23:H32)</f>
        <v>67.799692562196071</v>
      </c>
      <c r="J23" s="70">
        <f t="shared" ref="J23" si="97">(_xlfn.STDEV.S(H23:H32)/SQRT(5))/(I23)</f>
        <v>5.60096936339484E-2</v>
      </c>
      <c r="K23" s="38">
        <v>5.5694999999999997</v>
      </c>
      <c r="L23" s="22">
        <v>6.1710000000000001E-2</v>
      </c>
      <c r="M23" s="38">
        <f t="shared" ref="M23" si="98">AVERAGE(L23:L24)</f>
        <v>6.0399999999999995E-2</v>
      </c>
      <c r="N23" s="39">
        <f t="shared" ref="N23" si="99">(_xlfn.STDEV.S(L23:L24)/SQRT(2))/(M23)</f>
        <v>2.1688741721854338E-2</v>
      </c>
      <c r="O23" s="45">
        <f t="shared" ref="O23" si="100">(M23*$W$11*$W$10)/($W$12*$W$13*$W$14*10^-3)</f>
        <v>1.6777777777777778</v>
      </c>
      <c r="P23" s="37">
        <f t="shared" ref="P23" si="101">O23*1000</f>
        <v>1677.7777777777778</v>
      </c>
      <c r="Q23" s="45">
        <f t="shared" ref="Q23" si="102">P23/K23</f>
        <v>301.24387786655495</v>
      </c>
      <c r="R23" s="37">
        <f t="shared" ref="R23" si="103">AVERAGE(Q23:Q32)</f>
        <v>267.65702660370181</v>
      </c>
      <c r="S23" s="39">
        <f t="shared" ref="S23" si="104">(_xlfn.STDEV.S(Q23:Q32)/SQRT(5))/(R23)</f>
        <v>0.12541912923856105</v>
      </c>
    </row>
    <row r="24" spans="1:19" x14ac:dyDescent="0.35">
      <c r="A24" s="8">
        <v>11</v>
      </c>
      <c r="B24" s="38"/>
      <c r="C24" s="19">
        <v>2.1930000000000002E-2</v>
      </c>
      <c r="D24" s="38"/>
      <c r="E24" s="39"/>
      <c r="F24" s="45"/>
      <c r="G24" s="37"/>
      <c r="H24" s="68"/>
      <c r="I24" s="69"/>
      <c r="J24" s="70"/>
      <c r="K24" s="38"/>
      <c r="L24" s="22">
        <v>5.9089999999999997E-2</v>
      </c>
      <c r="M24" s="38"/>
      <c r="N24" s="39"/>
      <c r="O24" s="45"/>
      <c r="P24" s="37"/>
      <c r="Q24" s="45"/>
      <c r="R24" s="37"/>
      <c r="S24" s="39"/>
    </row>
    <row r="25" spans="1:19" x14ac:dyDescent="0.35">
      <c r="A25" s="8">
        <v>12</v>
      </c>
      <c r="B25" s="38">
        <v>7.5735000000000001</v>
      </c>
      <c r="C25" s="19">
        <v>1.6500000000000001E-2</v>
      </c>
      <c r="D25" s="38">
        <f t="shared" ref="D25" si="105">AVERAGE(C25:C26)</f>
        <v>1.6405000000000003E-2</v>
      </c>
      <c r="E25" s="39">
        <f t="shared" ref="E25" si="106">(_xlfn.STDEV.S(C25:C26)/SQRT(2))/(D25)</f>
        <v>5.7909174032306958E-3</v>
      </c>
      <c r="F25" s="45">
        <f t="shared" ref="F25" si="107">(D25*$W$11*$W$10)/($W$12*$W$13*$W$14*10^-3)</f>
        <v>0.45569444444444457</v>
      </c>
      <c r="G25" s="37">
        <f t="shared" ref="G25" si="108">F25*1000</f>
        <v>455.69444444444457</v>
      </c>
      <c r="H25" s="68">
        <f t="shared" ref="H25" si="109">G25/B25</f>
        <v>60.169597206634258</v>
      </c>
      <c r="I25" s="69"/>
      <c r="J25" s="70"/>
      <c r="K25" s="38">
        <v>5.3819999999999997</v>
      </c>
      <c r="L25" s="22">
        <v>2.673E-2</v>
      </c>
      <c r="M25" s="38">
        <f t="shared" ref="M25" si="110">AVERAGE(L25:L26)</f>
        <v>2.4164999999999999E-2</v>
      </c>
      <c r="N25" s="39">
        <f t="shared" ref="N25" si="111">(_xlfn.STDEV.S(L25:L26)/SQRT(2))/(M25)</f>
        <v>0.10614525139664802</v>
      </c>
      <c r="O25" s="45">
        <f t="shared" ref="O25" si="112">(M25*$W$11*$W$10)/($W$12*$W$13*$W$14*10^-3)</f>
        <v>0.67125000000000012</v>
      </c>
      <c r="P25" s="37">
        <f t="shared" ref="P25" si="113">O25*1000</f>
        <v>671.25000000000011</v>
      </c>
      <c r="Q25" s="61" t="s">
        <v>93</v>
      </c>
      <c r="R25" s="37"/>
      <c r="S25" s="39"/>
    </row>
    <row r="26" spans="1:19" x14ac:dyDescent="0.35">
      <c r="A26" s="8">
        <v>12</v>
      </c>
      <c r="B26" s="38"/>
      <c r="C26" s="19">
        <v>1.6310000000000002E-2</v>
      </c>
      <c r="D26" s="38"/>
      <c r="E26" s="39"/>
      <c r="F26" s="45"/>
      <c r="G26" s="37"/>
      <c r="H26" s="68"/>
      <c r="I26" s="69"/>
      <c r="J26" s="70"/>
      <c r="K26" s="38"/>
      <c r="L26" s="22">
        <v>2.1600000000000001E-2</v>
      </c>
      <c r="M26" s="38"/>
      <c r="N26" s="39"/>
      <c r="O26" s="45"/>
      <c r="P26" s="37"/>
      <c r="Q26" s="61"/>
      <c r="R26" s="37"/>
      <c r="S26" s="39"/>
    </row>
    <row r="27" spans="1:19" x14ac:dyDescent="0.35">
      <c r="A27" s="8">
        <v>13</v>
      </c>
      <c r="B27" s="38">
        <v>7.8960000000000008</v>
      </c>
      <c r="C27" s="19">
        <v>1.8509999999999999E-2</v>
      </c>
      <c r="D27" s="38">
        <f t="shared" ref="D27" si="114">AVERAGE(C27:C28)</f>
        <v>1.729E-2</v>
      </c>
      <c r="E27" s="39">
        <f t="shared" ref="E27" si="115">(_xlfn.STDEV.S(C27:C28)/SQRT(2))/(D27)</f>
        <v>7.0561017929438918E-2</v>
      </c>
      <c r="F27" s="45">
        <f t="shared" ref="F27" si="116">(D27*$W$11*$W$10)/($W$12*$W$13*$W$14*10^-3)</f>
        <v>0.4802777777777778</v>
      </c>
      <c r="G27" s="37">
        <f t="shared" ref="G27" si="117">F27*1000</f>
        <v>480.27777777777783</v>
      </c>
      <c r="H27" s="68">
        <f t="shared" ref="H27" si="118">G27/B27</f>
        <v>60.825453112687157</v>
      </c>
      <c r="I27" s="69"/>
      <c r="J27" s="70"/>
      <c r="K27" s="38">
        <v>6.7214999999999998</v>
      </c>
      <c r="L27" s="22">
        <v>5.2670000000000002E-2</v>
      </c>
      <c r="M27" s="38">
        <f t="shared" ref="M27" si="119">AVERAGE(L27:L28)</f>
        <v>4.8770000000000001E-2</v>
      </c>
      <c r="N27" s="39">
        <f t="shared" ref="N27" si="120">(_xlfn.STDEV.S(L27:L28)/SQRT(2))/(M27)</f>
        <v>7.9967192946483495E-2</v>
      </c>
      <c r="O27" s="45">
        <f t="shared" ref="O27" si="121">(M27*$W$11*$W$10)/($W$12*$W$13*$W$14*10^-3)</f>
        <v>1.3547222222222224</v>
      </c>
      <c r="P27" s="37">
        <f t="shared" ref="P27" si="122">O27*1000</f>
        <v>1354.7222222222224</v>
      </c>
      <c r="Q27" s="45">
        <f t="shared" ref="Q27" si="123">P27/K27</f>
        <v>201.55057981436025</v>
      </c>
      <c r="R27" s="37"/>
      <c r="S27" s="39"/>
    </row>
    <row r="28" spans="1:19" x14ac:dyDescent="0.35">
      <c r="A28" s="8">
        <v>13</v>
      </c>
      <c r="B28" s="38"/>
      <c r="C28" s="19">
        <v>1.6070000000000001E-2</v>
      </c>
      <c r="D28" s="38"/>
      <c r="E28" s="39"/>
      <c r="F28" s="45"/>
      <c r="G28" s="37"/>
      <c r="H28" s="68"/>
      <c r="I28" s="69"/>
      <c r="J28" s="70"/>
      <c r="K28" s="38"/>
      <c r="L28" s="22">
        <v>4.487E-2</v>
      </c>
      <c r="M28" s="38"/>
      <c r="N28" s="39"/>
      <c r="O28" s="45"/>
      <c r="P28" s="37"/>
      <c r="Q28" s="45"/>
      <c r="R28" s="37"/>
      <c r="S28" s="39"/>
    </row>
    <row r="29" spans="1:19" x14ac:dyDescent="0.35">
      <c r="A29" s="8">
        <v>14</v>
      </c>
      <c r="B29" s="38">
        <v>8.5725000000000016</v>
      </c>
      <c r="C29" s="19">
        <v>2.3140000000000001E-2</v>
      </c>
      <c r="D29" s="38">
        <f t="shared" ref="D29" si="124">AVERAGE(C29:C30)</f>
        <v>2.2970000000000001E-2</v>
      </c>
      <c r="E29" s="39">
        <f t="shared" ref="E29" si="125">(_xlfn.STDEV.S(C29:C30)/SQRT(2))/(D29)</f>
        <v>7.40095777100566E-3</v>
      </c>
      <c r="F29" s="45">
        <f t="shared" ref="F29" si="126">(D29*$W$11*$W$10)/($W$12*$W$13*$W$14*10^-3)</f>
        <v>0.6380555555555556</v>
      </c>
      <c r="G29" s="37">
        <f t="shared" ref="G29" si="127">F29*1000</f>
        <v>638.05555555555554</v>
      </c>
      <c r="H29" s="68">
        <f t="shared" ref="H29" si="128">G29/B29</f>
        <v>74.430511000939688</v>
      </c>
      <c r="I29" s="69"/>
      <c r="J29" s="70"/>
      <c r="K29" s="38">
        <v>6.9870000000000001</v>
      </c>
      <c r="L29" s="22">
        <v>5.0999999999999997E-2</v>
      </c>
      <c r="M29" s="38">
        <f t="shared" ref="M29" si="129">AVERAGE(L29:L30)</f>
        <v>5.2864999999999995E-2</v>
      </c>
      <c r="N29" s="39">
        <f t="shared" ref="N29" si="130">(_xlfn.STDEV.S(L29:L30)/SQRT(2))/(M29)</f>
        <v>3.5278539676534611E-2</v>
      </c>
      <c r="O29" s="45">
        <f t="shared" ref="O29" si="131">(M29*$W$11*$W$10)/($W$12*$W$13*$W$14*10^-3)</f>
        <v>1.4684722222222222</v>
      </c>
      <c r="P29" s="37">
        <f t="shared" ref="P29" si="132">O29*1000</f>
        <v>1468.4722222222222</v>
      </c>
      <c r="Q29" s="45">
        <f t="shared" ref="Q29" si="133">P29/K29</f>
        <v>210.17206558211279</v>
      </c>
      <c r="R29" s="37"/>
      <c r="S29" s="39"/>
    </row>
    <row r="30" spans="1:19" x14ac:dyDescent="0.35">
      <c r="A30" s="8">
        <v>14</v>
      </c>
      <c r="B30" s="38"/>
      <c r="C30" s="19">
        <v>2.2800000000000001E-2</v>
      </c>
      <c r="D30" s="38"/>
      <c r="E30" s="39"/>
      <c r="F30" s="45"/>
      <c r="G30" s="37"/>
      <c r="H30" s="68"/>
      <c r="I30" s="69"/>
      <c r="J30" s="70"/>
      <c r="K30" s="38"/>
      <c r="L30" s="22">
        <v>5.4730000000000001E-2</v>
      </c>
      <c r="M30" s="38"/>
      <c r="N30" s="39"/>
      <c r="O30" s="45"/>
      <c r="P30" s="37"/>
      <c r="Q30" s="45"/>
      <c r="R30" s="37"/>
      <c r="S30" s="39"/>
    </row>
    <row r="31" spans="1:19" x14ac:dyDescent="0.35">
      <c r="A31" s="8">
        <v>15</v>
      </c>
      <c r="B31" s="38">
        <v>8.1180000000000003</v>
      </c>
      <c r="C31" s="19">
        <v>2.4E-2</v>
      </c>
      <c r="D31" s="38">
        <f t="shared" ref="D31" si="134">AVERAGE(C31:C32)</f>
        <v>2.3105000000000001E-2</v>
      </c>
      <c r="E31" s="39">
        <f t="shared" ref="E31" si="135">(_xlfn.STDEV.S(C31:C32)/SQRT(2))/(D31)</f>
        <v>3.8736204284786843E-2</v>
      </c>
      <c r="F31" s="45">
        <f t="shared" ref="F31" si="136">(D31*$W$11*$W$10)/($W$12*$W$13*$W$14*10^-3)</f>
        <v>0.64180555555555563</v>
      </c>
      <c r="G31" s="37">
        <f t="shared" ref="G31" si="137">F31*1000</f>
        <v>641.80555555555566</v>
      </c>
      <c r="H31" s="68">
        <f t="shared" ref="H31" si="138">G31/B31</f>
        <v>79.059565848183738</v>
      </c>
      <c r="I31" s="69"/>
      <c r="J31" s="70"/>
      <c r="K31" s="38">
        <v>5.8905000000000003</v>
      </c>
      <c r="L31" s="22">
        <v>7.5289999999999996E-2</v>
      </c>
      <c r="M31" s="38">
        <f t="shared" ref="M31" si="139">AVERAGE(L31:L32)</f>
        <v>7.5844999999999996E-2</v>
      </c>
      <c r="N31" s="39">
        <f t="shared" ref="N31" si="140">(_xlfn.STDEV.S(L31:L32)/SQRT(2))/(M31)</f>
        <v>7.317555540905794E-3</v>
      </c>
      <c r="O31" s="45">
        <f t="shared" ref="O31" si="141">(M31*$W$11*$W$10)/($W$12*$W$13*$W$14*10^-3)</f>
        <v>2.1068055555555558</v>
      </c>
      <c r="P31" s="37">
        <f t="shared" ref="P31" si="142">O31*1000</f>
        <v>2106.8055555555557</v>
      </c>
      <c r="Q31" s="45">
        <f t="shared" ref="Q31" si="143">P31/K31</f>
        <v>357.66158315177921</v>
      </c>
      <c r="R31" s="37"/>
      <c r="S31" s="39"/>
    </row>
    <row r="32" spans="1:19" x14ac:dyDescent="0.35">
      <c r="A32" s="8">
        <v>15</v>
      </c>
      <c r="B32" s="38"/>
      <c r="C32" s="19">
        <v>2.2210000000000001E-2</v>
      </c>
      <c r="D32" s="38"/>
      <c r="E32" s="39"/>
      <c r="F32" s="45"/>
      <c r="G32" s="37"/>
      <c r="H32" s="68"/>
      <c r="I32" s="69"/>
      <c r="J32" s="70"/>
      <c r="K32" s="38"/>
      <c r="L32" s="22">
        <v>7.6399999999999996E-2</v>
      </c>
      <c r="M32" s="38"/>
      <c r="N32" s="39"/>
      <c r="O32" s="45"/>
      <c r="P32" s="37"/>
      <c r="Q32" s="45"/>
      <c r="R32" s="37"/>
      <c r="S32" s="39"/>
    </row>
    <row r="33" spans="1:19" x14ac:dyDescent="0.35">
      <c r="A33" s="8">
        <v>16</v>
      </c>
      <c r="B33" s="38">
        <v>6.9989999999999997</v>
      </c>
      <c r="C33" s="19">
        <v>1.84E-2</v>
      </c>
      <c r="D33" s="38">
        <f t="shared" ref="D33" si="144">AVERAGE(C33:C34)</f>
        <v>1.6715000000000001E-2</v>
      </c>
      <c r="E33" s="39">
        <f t="shared" ref="E33" si="145">(_xlfn.STDEV.S(C33:C34)/SQRT(2))/(D33)</f>
        <v>0.10080765779240201</v>
      </c>
      <c r="F33" s="45">
        <f t="shared" ref="F33" si="146">(D33*$W$11*$W$10)/($W$12*$W$13*$W$14*10^-3)</f>
        <v>0.46430555555555564</v>
      </c>
      <c r="G33" s="37">
        <f t="shared" ref="G33" si="147">F33*1000</f>
        <v>464.30555555555566</v>
      </c>
      <c r="H33" s="68">
        <f t="shared" ref="H33" si="148">G33/B33</f>
        <v>66.338842056801781</v>
      </c>
      <c r="I33" s="69">
        <f t="shared" ref="I33" si="149">AVERAGE(H33:H42)</f>
        <v>81.710785469190981</v>
      </c>
      <c r="J33" s="70">
        <f t="shared" ref="J33" si="150">(_xlfn.STDEV.S(H33:H42)/SQRT(5))/(I33)</f>
        <v>0.14087111324716173</v>
      </c>
      <c r="K33" s="38">
        <v>4.5179999999999998</v>
      </c>
      <c r="L33" s="22">
        <v>5.7029999999999997E-2</v>
      </c>
      <c r="M33" s="38">
        <f t="shared" ref="M33" si="151">AVERAGE(L33:L34)</f>
        <v>5.9039999999999995E-2</v>
      </c>
      <c r="N33" s="39">
        <f t="shared" ref="N33" si="152">(_xlfn.STDEV.S(L33:L34)/SQRT(2))/(M33)</f>
        <v>3.4044715447154497E-2</v>
      </c>
      <c r="O33" s="45">
        <f t="shared" ref="O33" si="153">(M33*$W$11*$W$10)/($W$12*$W$13*$W$14*10^-3)</f>
        <v>1.64</v>
      </c>
      <c r="P33" s="37">
        <f t="shared" ref="P33" si="154">O33*1000</f>
        <v>1640</v>
      </c>
      <c r="Q33" s="61">
        <f t="shared" ref="Q33" si="155">P33/K33</f>
        <v>362.99247454625942</v>
      </c>
      <c r="R33" s="37">
        <f t="shared" ref="R33" si="156">AVERAGE(Q33:Q42)</f>
        <v>225.38940537631157</v>
      </c>
      <c r="S33" s="39">
        <f t="shared" ref="S33" si="157">(_xlfn.STDEV.S(Q33:Q42)/SQRT(5))/(R33)</f>
        <v>0.16365688764698597</v>
      </c>
    </row>
    <row r="34" spans="1:19" x14ac:dyDescent="0.35">
      <c r="A34" s="8">
        <v>16</v>
      </c>
      <c r="B34" s="38"/>
      <c r="C34" s="19">
        <v>1.503E-2</v>
      </c>
      <c r="D34" s="38"/>
      <c r="E34" s="39"/>
      <c r="F34" s="45"/>
      <c r="G34" s="37"/>
      <c r="H34" s="68"/>
      <c r="I34" s="69"/>
      <c r="J34" s="70"/>
      <c r="K34" s="38"/>
      <c r="L34" s="22">
        <v>6.105E-2</v>
      </c>
      <c r="M34" s="38"/>
      <c r="N34" s="39"/>
      <c r="O34" s="45"/>
      <c r="P34" s="37"/>
      <c r="Q34" s="61"/>
      <c r="R34" s="37"/>
      <c r="S34" s="39"/>
    </row>
    <row r="35" spans="1:19" x14ac:dyDescent="0.35">
      <c r="A35" s="8">
        <v>17</v>
      </c>
      <c r="B35" s="38">
        <v>6.5324999999999998</v>
      </c>
      <c r="C35" s="19">
        <v>1.3429999999999999E-2</v>
      </c>
      <c r="D35" s="38">
        <f t="shared" ref="D35" si="158">AVERAGE(C35:C36)</f>
        <v>1.2715000000000001E-2</v>
      </c>
      <c r="E35" s="39">
        <f t="shared" ref="E35" si="159">(_xlfn.STDEV.S(C35:C36)/SQRT(2))/(D35)</f>
        <v>5.6232795910342068E-2</v>
      </c>
      <c r="F35" s="45">
        <f t="shared" ref="F35" si="160">(D35*$W$11*$W$10)/($W$12*$W$13*$W$14*10^-3)</f>
        <v>0.35319444444444448</v>
      </c>
      <c r="G35" s="37">
        <f t="shared" ref="G35" si="161">F35*1000</f>
        <v>353.19444444444446</v>
      </c>
      <c r="H35" s="68">
        <f t="shared" ref="H35" si="162">G35/B35</f>
        <v>54.067270485180934</v>
      </c>
      <c r="I35" s="69"/>
      <c r="J35" s="70"/>
      <c r="K35" s="38">
        <v>6.7650000000000006</v>
      </c>
      <c r="L35" s="22">
        <v>3.771E-2</v>
      </c>
      <c r="M35" s="38">
        <f t="shared" ref="M35" si="163">AVERAGE(L35:L36)</f>
        <v>3.8339999999999999E-2</v>
      </c>
      <c r="N35" s="39">
        <f t="shared" ref="N35" si="164">(_xlfn.STDEV.S(L35:L36)/SQRT(2))/(M35)</f>
        <v>1.6431924882629071E-2</v>
      </c>
      <c r="O35" s="45">
        <f t="shared" ref="O35" si="165">(M35*$W$11*$W$10)/($W$12*$W$13*$W$14*10^-3)</f>
        <v>1.0650000000000002</v>
      </c>
      <c r="P35" s="37">
        <f t="shared" ref="P35" si="166">O35*1000</f>
        <v>1065.0000000000002</v>
      </c>
      <c r="Q35" s="45">
        <f t="shared" ref="Q35" si="167">P35/K35</f>
        <v>157.4279379157428</v>
      </c>
      <c r="R35" s="37"/>
      <c r="S35" s="39"/>
    </row>
    <row r="36" spans="1:19" x14ac:dyDescent="0.35">
      <c r="A36" s="8">
        <v>17</v>
      </c>
      <c r="B36" s="38"/>
      <c r="C36" s="19">
        <v>1.2E-2</v>
      </c>
      <c r="D36" s="38"/>
      <c r="E36" s="39"/>
      <c r="F36" s="45"/>
      <c r="G36" s="37"/>
      <c r="H36" s="68"/>
      <c r="I36" s="69"/>
      <c r="J36" s="70"/>
      <c r="K36" s="38"/>
      <c r="L36" s="22">
        <v>3.8969999999999998E-2</v>
      </c>
      <c r="M36" s="38"/>
      <c r="N36" s="39"/>
      <c r="O36" s="45"/>
      <c r="P36" s="37"/>
      <c r="Q36" s="45"/>
      <c r="R36" s="37"/>
      <c r="S36" s="39"/>
    </row>
    <row r="37" spans="1:19" x14ac:dyDescent="0.35">
      <c r="A37" s="8">
        <v>18</v>
      </c>
      <c r="B37" s="38">
        <v>8.0730000000000004</v>
      </c>
      <c r="C37" s="19">
        <v>2.7140000000000001E-2</v>
      </c>
      <c r="D37" s="38">
        <f t="shared" ref="D37" si="168">AVERAGE(C37:C38)</f>
        <v>2.9269999999999997E-2</v>
      </c>
      <c r="E37" s="39">
        <f t="shared" ref="E37" si="169">(_xlfn.STDEV.S(C37:C38)/SQRT(2))/(D37)</f>
        <v>7.27707550392893E-2</v>
      </c>
      <c r="F37" s="45">
        <f t="shared" ref="F37" si="170">(D37*$W$11*$W$10)/($W$12*$W$13*$W$14*10^-3)</f>
        <v>0.81305555555555553</v>
      </c>
      <c r="G37" s="37">
        <f t="shared" ref="G37" si="171">F37*1000</f>
        <v>813.05555555555554</v>
      </c>
      <c r="H37" s="68">
        <f t="shared" ref="H37" si="172">G37/B37</f>
        <v>100.71293887719008</v>
      </c>
      <c r="I37" s="69"/>
      <c r="J37" s="70"/>
      <c r="K37" s="38">
        <v>8.317499999999999</v>
      </c>
      <c r="L37" s="22">
        <v>6.046E-2</v>
      </c>
      <c r="M37" s="38">
        <f t="shared" ref="M37" si="173">AVERAGE(L37:L38)</f>
        <v>6.9429999999999992E-2</v>
      </c>
      <c r="N37" s="39">
        <f t="shared" ref="N37" si="174">(_xlfn.STDEV.S(L37:L38)/SQRT(2))/(M37)</f>
        <v>0.12919487253348833</v>
      </c>
      <c r="O37" s="45">
        <f t="shared" ref="O37" si="175">(M37*$W$11*$W$10)/($W$12*$W$13*$W$14*10^-3)</f>
        <v>1.9286111111111111</v>
      </c>
      <c r="P37" s="37">
        <f t="shared" ref="P37" si="176">O37*1000</f>
        <v>1928.6111111111111</v>
      </c>
      <c r="Q37" s="45">
        <f t="shared" ref="Q37" si="177">P37/K37</f>
        <v>231.87389373142307</v>
      </c>
      <c r="R37" s="37"/>
      <c r="S37" s="39"/>
    </row>
    <row r="38" spans="1:19" x14ac:dyDescent="0.35">
      <c r="A38" s="8">
        <v>18</v>
      </c>
      <c r="B38" s="38"/>
      <c r="C38" s="19">
        <v>3.1399999999999997E-2</v>
      </c>
      <c r="D38" s="38"/>
      <c r="E38" s="39"/>
      <c r="F38" s="45"/>
      <c r="G38" s="37"/>
      <c r="H38" s="68"/>
      <c r="I38" s="69"/>
      <c r="J38" s="70"/>
      <c r="K38" s="38"/>
      <c r="L38" s="22">
        <v>7.8399999999999997E-2</v>
      </c>
      <c r="M38" s="38"/>
      <c r="N38" s="39"/>
      <c r="O38" s="45"/>
      <c r="P38" s="37"/>
      <c r="Q38" s="45"/>
      <c r="R38" s="37"/>
      <c r="S38" s="39"/>
    </row>
    <row r="39" spans="1:19" x14ac:dyDescent="0.35">
      <c r="A39" s="8">
        <v>19</v>
      </c>
      <c r="B39" s="38">
        <v>7.1744999999999992</v>
      </c>
      <c r="C39" s="19">
        <v>1.8429999999999998E-2</v>
      </c>
      <c r="D39" s="38">
        <f>AVERAGE(C39:C39)</f>
        <v>1.8429999999999998E-2</v>
      </c>
      <c r="E39" s="49" t="e">
        <f>(_xlfn.STDEV.S(C40:C40)/SQRT(1))/(D39)</f>
        <v>#DIV/0!</v>
      </c>
      <c r="F39" s="45">
        <f t="shared" ref="F39" si="178">(D39*$W$11*$W$10)/($W$12*$W$13*$W$14*10^-3)</f>
        <v>0.51194444444444442</v>
      </c>
      <c r="G39" s="37">
        <f t="shared" ref="G39" si="179">F39*1000</f>
        <v>511.9444444444444</v>
      </c>
      <c r="H39" s="68">
        <f t="shared" ref="H39" si="180">G39/B39</f>
        <v>71.356114634391872</v>
      </c>
      <c r="I39" s="69"/>
      <c r="J39" s="70"/>
      <c r="K39" s="38">
        <v>6.5549999999999997</v>
      </c>
      <c r="L39" s="22">
        <v>3.6600000000000001E-2</v>
      </c>
      <c r="M39" s="38">
        <f t="shared" ref="M39" si="181">AVERAGE(L39:L40)</f>
        <v>3.9730000000000001E-2</v>
      </c>
      <c r="N39" s="39">
        <f t="shared" ref="N39" si="182">(_xlfn.STDEV.S(L39:L40)/SQRT(2))/(M39)</f>
        <v>7.8781776994714323E-2</v>
      </c>
      <c r="O39" s="45">
        <f t="shared" ref="O39" si="183">(M39*$W$11*$W$10)/($W$12*$W$13*$W$14*10^-3)</f>
        <v>1.1036111111111111</v>
      </c>
      <c r="P39" s="37">
        <f t="shared" ref="P39" si="184">O39*1000</f>
        <v>1103.6111111111111</v>
      </c>
      <c r="Q39" s="45">
        <f t="shared" ref="Q39" si="185">P39/K39</f>
        <v>168.36172556996357</v>
      </c>
      <c r="R39" s="37"/>
      <c r="S39" s="39"/>
    </row>
    <row r="40" spans="1:19" x14ac:dyDescent="0.35">
      <c r="A40" s="8">
        <v>19</v>
      </c>
      <c r="B40" s="38"/>
      <c r="C40" s="18">
        <v>4.1599999999999998E-2</v>
      </c>
      <c r="D40" s="38"/>
      <c r="E40" s="49"/>
      <c r="F40" s="45"/>
      <c r="G40" s="37"/>
      <c r="H40" s="68"/>
      <c r="I40" s="69"/>
      <c r="J40" s="70"/>
      <c r="K40" s="38"/>
      <c r="L40" s="22">
        <v>4.2860000000000002E-2</v>
      </c>
      <c r="M40" s="38"/>
      <c r="N40" s="39"/>
      <c r="O40" s="45"/>
      <c r="P40" s="37"/>
      <c r="Q40" s="45"/>
      <c r="R40" s="37"/>
      <c r="S40" s="39"/>
    </row>
    <row r="41" spans="1:19" x14ac:dyDescent="0.35">
      <c r="A41" s="8">
        <v>20</v>
      </c>
      <c r="B41" s="38">
        <v>5.5470000000000006</v>
      </c>
      <c r="C41" s="19">
        <v>2.4E-2</v>
      </c>
      <c r="D41" s="38">
        <f t="shared" ref="D41" si="186">AVERAGE(C41:C42)</f>
        <v>2.3179999999999999E-2</v>
      </c>
      <c r="E41" s="39">
        <f t="shared" ref="E41" si="187">(_xlfn.STDEV.S(C41:C42)/SQRT(2))/(D41)</f>
        <v>3.537532355478859E-2</v>
      </c>
      <c r="F41" s="45">
        <f t="shared" ref="F41" si="188">(D41*$W$11*$W$10)/($W$12*$W$13*$W$14*10^-3)</f>
        <v>0.64388888888888896</v>
      </c>
      <c r="G41" s="37">
        <f t="shared" ref="G41" si="189">F41*1000</f>
        <v>643.88888888888891</v>
      </c>
      <c r="H41" s="68">
        <f t="shared" ref="H41" si="190">G41/B41</f>
        <v>116.07876129239027</v>
      </c>
      <c r="I41" s="69"/>
      <c r="J41" s="70"/>
      <c r="K41" s="38">
        <v>7.0215000000000005</v>
      </c>
      <c r="L41" s="22">
        <v>4.929E-2</v>
      </c>
      <c r="M41" s="38">
        <f t="shared" ref="M41" si="191">AVERAGE(L41:L42)</f>
        <v>5.2144999999999997E-2</v>
      </c>
      <c r="N41" s="39">
        <f t="shared" ref="N41" si="192">(_xlfn.STDEV.S(L41:L42)/SQRT(2))/(M41)</f>
        <v>5.4751174609262626E-2</v>
      </c>
      <c r="O41" s="45">
        <f t="shared" ref="O41" si="193">(M41*$W$11*$W$10)/($W$12*$W$13*$W$14*10^-3)</f>
        <v>1.4484722222222224</v>
      </c>
      <c r="P41" s="37">
        <f t="shared" ref="P41" si="194">O41*1000</f>
        <v>1448.4722222222224</v>
      </c>
      <c r="Q41" s="45">
        <f t="shared" ref="Q41" si="195">P41/K41</f>
        <v>206.29099511816881</v>
      </c>
      <c r="R41" s="37"/>
      <c r="S41" s="39"/>
    </row>
    <row r="42" spans="1:19" x14ac:dyDescent="0.35">
      <c r="A42" s="8">
        <v>20</v>
      </c>
      <c r="B42" s="38"/>
      <c r="C42" s="19">
        <v>2.2360000000000001E-2</v>
      </c>
      <c r="D42" s="38"/>
      <c r="E42" s="39"/>
      <c r="F42" s="45"/>
      <c r="G42" s="37"/>
      <c r="H42" s="68"/>
      <c r="I42" s="69"/>
      <c r="J42" s="70"/>
      <c r="K42" s="38"/>
      <c r="L42" s="22">
        <v>5.5E-2</v>
      </c>
      <c r="M42" s="38"/>
      <c r="N42" s="39"/>
      <c r="O42" s="45"/>
      <c r="P42" s="37"/>
      <c r="Q42" s="45"/>
      <c r="R42" s="37"/>
      <c r="S42" s="39"/>
    </row>
  </sheetData>
  <mergeCells count="258">
    <mergeCell ref="K39:K40"/>
    <mergeCell ref="K41:K42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K21:K22"/>
    <mergeCell ref="K23:K24"/>
    <mergeCell ref="K25:K26"/>
    <mergeCell ref="K27:K28"/>
    <mergeCell ref="K29:K30"/>
    <mergeCell ref="K31:K32"/>
    <mergeCell ref="K33:K34"/>
    <mergeCell ref="K35:K36"/>
    <mergeCell ref="K37:K38"/>
    <mergeCell ref="K3:K4"/>
    <mergeCell ref="K5:K6"/>
    <mergeCell ref="K7:K8"/>
    <mergeCell ref="K9:K10"/>
    <mergeCell ref="K11:K12"/>
    <mergeCell ref="K13:K14"/>
    <mergeCell ref="K15:K16"/>
    <mergeCell ref="K17:K18"/>
    <mergeCell ref="K19:K20"/>
    <mergeCell ref="B1:J1"/>
    <mergeCell ref="K1:S1"/>
    <mergeCell ref="D13:D14"/>
    <mergeCell ref="D15:D16"/>
    <mergeCell ref="D17:D18"/>
    <mergeCell ref="D19:D20"/>
    <mergeCell ref="D21:D22"/>
    <mergeCell ref="D3:D4"/>
    <mergeCell ref="D5:D6"/>
    <mergeCell ref="D7:D8"/>
    <mergeCell ref="D9:D10"/>
    <mergeCell ref="D11:D12"/>
    <mergeCell ref="E13:E14"/>
    <mergeCell ref="E15:E16"/>
    <mergeCell ref="E17:E18"/>
    <mergeCell ref="E19:E20"/>
    <mergeCell ref="E21:E22"/>
    <mergeCell ref="E3:E4"/>
    <mergeCell ref="E5:E6"/>
    <mergeCell ref="E7:E8"/>
    <mergeCell ref="E9:E10"/>
    <mergeCell ref="E11:E12"/>
    <mergeCell ref="F7:F8"/>
    <mergeCell ref="H7:H8"/>
    <mergeCell ref="D33:D34"/>
    <mergeCell ref="D35:D36"/>
    <mergeCell ref="D37:D38"/>
    <mergeCell ref="D39:D40"/>
    <mergeCell ref="D41:D42"/>
    <mergeCell ref="D23:D24"/>
    <mergeCell ref="D25:D26"/>
    <mergeCell ref="D27:D28"/>
    <mergeCell ref="D29:D30"/>
    <mergeCell ref="D31:D32"/>
    <mergeCell ref="E33:E34"/>
    <mergeCell ref="E35:E36"/>
    <mergeCell ref="E37:E38"/>
    <mergeCell ref="E39:E40"/>
    <mergeCell ref="E41:E42"/>
    <mergeCell ref="E23:E24"/>
    <mergeCell ref="E25:E26"/>
    <mergeCell ref="E27:E28"/>
    <mergeCell ref="E29:E30"/>
    <mergeCell ref="E31:E32"/>
    <mergeCell ref="F9:F10"/>
    <mergeCell ref="H9:H10"/>
    <mergeCell ref="G7:G8"/>
    <mergeCell ref="G9:G10"/>
    <mergeCell ref="F3:F4"/>
    <mergeCell ref="H3:H4"/>
    <mergeCell ref="F5:F6"/>
    <mergeCell ref="H5:H6"/>
    <mergeCell ref="G3:G4"/>
    <mergeCell ref="G5:G6"/>
    <mergeCell ref="F15:F16"/>
    <mergeCell ref="H15:H16"/>
    <mergeCell ref="F17:F18"/>
    <mergeCell ref="H17:H18"/>
    <mergeCell ref="G15:G16"/>
    <mergeCell ref="G17:G18"/>
    <mergeCell ref="F11:F12"/>
    <mergeCell ref="H11:H12"/>
    <mergeCell ref="F13:F14"/>
    <mergeCell ref="H13:H14"/>
    <mergeCell ref="G11:G12"/>
    <mergeCell ref="G13:G14"/>
    <mergeCell ref="F23:F24"/>
    <mergeCell ref="H23:H24"/>
    <mergeCell ref="F25:F26"/>
    <mergeCell ref="H25:H26"/>
    <mergeCell ref="G23:G24"/>
    <mergeCell ref="G25:G26"/>
    <mergeCell ref="F19:F20"/>
    <mergeCell ref="H19:H20"/>
    <mergeCell ref="F21:F22"/>
    <mergeCell ref="H21:H22"/>
    <mergeCell ref="G19:G20"/>
    <mergeCell ref="G21:G22"/>
    <mergeCell ref="F31:F32"/>
    <mergeCell ref="H31:H32"/>
    <mergeCell ref="F33:F34"/>
    <mergeCell ref="H33:H34"/>
    <mergeCell ref="G31:G32"/>
    <mergeCell ref="G33:G34"/>
    <mergeCell ref="F27:F28"/>
    <mergeCell ref="H27:H28"/>
    <mergeCell ref="F29:F30"/>
    <mergeCell ref="H29:H30"/>
    <mergeCell ref="G27:G28"/>
    <mergeCell ref="G29:G30"/>
    <mergeCell ref="F39:F40"/>
    <mergeCell ref="H39:H40"/>
    <mergeCell ref="F41:F42"/>
    <mergeCell ref="H41:H42"/>
    <mergeCell ref="G39:G40"/>
    <mergeCell ref="G41:G42"/>
    <mergeCell ref="F35:F36"/>
    <mergeCell ref="H35:H36"/>
    <mergeCell ref="F37:F38"/>
    <mergeCell ref="H37:H38"/>
    <mergeCell ref="G35:G36"/>
    <mergeCell ref="G37:G38"/>
    <mergeCell ref="N3:N4"/>
    <mergeCell ref="O3:O4"/>
    <mergeCell ref="P3:P4"/>
    <mergeCell ref="N11:N12"/>
    <mergeCell ref="O11:O12"/>
    <mergeCell ref="P11:P12"/>
    <mergeCell ref="Q3:Q4"/>
    <mergeCell ref="I33:I42"/>
    <mergeCell ref="J33:J42"/>
    <mergeCell ref="M3:M4"/>
    <mergeCell ref="M11:M12"/>
    <mergeCell ref="M13:M14"/>
    <mergeCell ref="M21:M22"/>
    <mergeCell ref="M23:M24"/>
    <mergeCell ref="M31:M32"/>
    <mergeCell ref="M33:M34"/>
    <mergeCell ref="M41:M42"/>
    <mergeCell ref="I3:I12"/>
    <mergeCell ref="J3:J12"/>
    <mergeCell ref="I13:I22"/>
    <mergeCell ref="J13:J22"/>
    <mergeCell ref="I23:I32"/>
    <mergeCell ref="J23:J32"/>
    <mergeCell ref="M5:M6"/>
    <mergeCell ref="N5:N6"/>
    <mergeCell ref="O5:O6"/>
    <mergeCell ref="P5:P6"/>
    <mergeCell ref="M7:M8"/>
    <mergeCell ref="N7:N8"/>
    <mergeCell ref="O7:O8"/>
    <mergeCell ref="P7:P8"/>
    <mergeCell ref="M9:M10"/>
    <mergeCell ref="N9:N10"/>
    <mergeCell ref="O9:O10"/>
    <mergeCell ref="P9:P10"/>
    <mergeCell ref="O31:O32"/>
    <mergeCell ref="P31:P32"/>
    <mergeCell ref="Q23:Q24"/>
    <mergeCell ref="R13:R22"/>
    <mergeCell ref="M15:M16"/>
    <mergeCell ref="N15:N16"/>
    <mergeCell ref="O15:O16"/>
    <mergeCell ref="P15:P16"/>
    <mergeCell ref="M17:M18"/>
    <mergeCell ref="N17:N18"/>
    <mergeCell ref="O17:O18"/>
    <mergeCell ref="P17:P18"/>
    <mergeCell ref="M19:M20"/>
    <mergeCell ref="N19:N20"/>
    <mergeCell ref="O19:O20"/>
    <mergeCell ref="P19:P20"/>
    <mergeCell ref="N13:N14"/>
    <mergeCell ref="O13:O14"/>
    <mergeCell ref="P13:P14"/>
    <mergeCell ref="N21:N22"/>
    <mergeCell ref="O21:O22"/>
    <mergeCell ref="P21:P22"/>
    <mergeCell ref="Q13:Q14"/>
    <mergeCell ref="N33:N34"/>
    <mergeCell ref="O33:O34"/>
    <mergeCell ref="P33:P34"/>
    <mergeCell ref="N41:N42"/>
    <mergeCell ref="O41:O42"/>
    <mergeCell ref="P41:P42"/>
    <mergeCell ref="Q33:Q34"/>
    <mergeCell ref="R23:R32"/>
    <mergeCell ref="M25:M26"/>
    <mergeCell ref="N25:N26"/>
    <mergeCell ref="O25:O26"/>
    <mergeCell ref="P25:P26"/>
    <mergeCell ref="M27:M28"/>
    <mergeCell ref="N27:N28"/>
    <mergeCell ref="O27:O28"/>
    <mergeCell ref="P27:P28"/>
    <mergeCell ref="M29:M30"/>
    <mergeCell ref="N29:N30"/>
    <mergeCell ref="O29:O30"/>
    <mergeCell ref="P29:P30"/>
    <mergeCell ref="N23:N24"/>
    <mergeCell ref="O23:O24"/>
    <mergeCell ref="P23:P24"/>
    <mergeCell ref="N31:N32"/>
    <mergeCell ref="M35:M36"/>
    <mergeCell ref="N35:N36"/>
    <mergeCell ref="O35:O36"/>
    <mergeCell ref="P35:P36"/>
    <mergeCell ref="M37:M38"/>
    <mergeCell ref="N37:N38"/>
    <mergeCell ref="O37:O38"/>
    <mergeCell ref="P37:P38"/>
    <mergeCell ref="M39:M40"/>
    <mergeCell ref="N39:N40"/>
    <mergeCell ref="O39:O40"/>
    <mergeCell ref="P39:P40"/>
    <mergeCell ref="S13:S22"/>
    <mergeCell ref="Q15:Q16"/>
    <mergeCell ref="Q17:Q18"/>
    <mergeCell ref="Q19:Q20"/>
    <mergeCell ref="Q21:Q22"/>
    <mergeCell ref="S3:S12"/>
    <mergeCell ref="Q5:Q6"/>
    <mergeCell ref="Q7:Q8"/>
    <mergeCell ref="Q9:Q10"/>
    <mergeCell ref="Q11:Q12"/>
    <mergeCell ref="R3:R12"/>
    <mergeCell ref="S33:S42"/>
    <mergeCell ref="Q35:Q36"/>
    <mergeCell ref="Q37:Q38"/>
    <mergeCell ref="Q39:Q40"/>
    <mergeCell ref="Q41:Q42"/>
    <mergeCell ref="S23:S32"/>
    <mergeCell ref="Q25:Q26"/>
    <mergeCell ref="Q27:Q28"/>
    <mergeCell ref="Q29:Q30"/>
    <mergeCell ref="Q31:Q32"/>
    <mergeCell ref="R33:R42"/>
  </mergeCells>
  <conditionalFormatting sqref="B2">
    <cfRule type="beginsWith" dxfId="1" priority="2" operator="beginsWith" text="NA">
      <formula>LEFT(B2,LEN("NA"))="NA"</formula>
    </cfRule>
  </conditionalFormatting>
  <conditionalFormatting sqref="L2">
    <cfRule type="beginsWith" dxfId="0" priority="4" operator="beginsWith" text="NA">
      <formula>LEFT(L2,LEN("NA"))="NA"</formula>
    </cfRule>
  </conditionalFormatting>
  <conditionalFormatting sqref="N2 E2">
    <cfRule type="iconSet" priority="3">
      <iconSet reverse="1">
        <cfvo type="percent" val="0"/>
        <cfvo type="num" val="1"/>
        <cfvo type="num" val="5"/>
      </iconSet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AB737-2DEC-402C-8DC2-07BEE529A9DE}">
  <dimension ref="A2:P61"/>
  <sheetViews>
    <sheetView topLeftCell="A41" zoomScale="85" zoomScaleNormal="85" workbookViewId="0">
      <selection activeCell="A65" sqref="A65:XFD65"/>
    </sheetView>
  </sheetViews>
  <sheetFormatPr baseColWidth="10" defaultRowHeight="14.5" x14ac:dyDescent="0.35"/>
  <cols>
    <col min="2" max="2" width="11.1796875" bestFit="1" customWidth="1"/>
    <col min="3" max="3" width="13" bestFit="1" customWidth="1"/>
    <col min="4" max="4" width="20.54296875" bestFit="1" customWidth="1"/>
    <col min="7" max="7" width="11.453125" bestFit="1" customWidth="1"/>
    <col min="8" max="8" width="9.36328125" customWidth="1"/>
    <col min="10" max="10" width="13" bestFit="1" customWidth="1"/>
    <col min="11" max="11" width="20.54296875" bestFit="1" customWidth="1"/>
    <col min="14" max="14" width="11.453125" bestFit="1" customWidth="1"/>
  </cols>
  <sheetData>
    <row r="2" spans="1:12" x14ac:dyDescent="0.35">
      <c r="A2" t="s">
        <v>31</v>
      </c>
      <c r="B2" t="s">
        <v>101</v>
      </c>
      <c r="C2" t="s">
        <v>104</v>
      </c>
      <c r="D2" t="s">
        <v>100</v>
      </c>
    </row>
    <row r="3" spans="1:12" x14ac:dyDescent="0.35">
      <c r="A3" t="s">
        <v>103</v>
      </c>
      <c r="B3">
        <v>0.34200000000000003</v>
      </c>
      <c r="C3">
        <f>B3-0.027</f>
        <v>0.315</v>
      </c>
      <c r="D3">
        <v>0</v>
      </c>
      <c r="L3" t="s">
        <v>106</v>
      </c>
    </row>
    <row r="4" spans="1:12" x14ac:dyDescent="0.35">
      <c r="A4" t="s">
        <v>103</v>
      </c>
      <c r="B4">
        <v>0.35899999999999999</v>
      </c>
      <c r="C4">
        <f>B4-0.025</f>
        <v>0.33399999999999996</v>
      </c>
      <c r="D4">
        <v>0</v>
      </c>
      <c r="L4" t="s">
        <v>107</v>
      </c>
    </row>
    <row r="5" spans="1:12" x14ac:dyDescent="0.35">
      <c r="A5" t="s">
        <v>102</v>
      </c>
      <c r="B5">
        <v>0.34200000000000003</v>
      </c>
      <c r="C5">
        <f t="shared" ref="C5:C7" si="0">B5-0.027</f>
        <v>0.315</v>
      </c>
      <c r="D5">
        <v>0</v>
      </c>
      <c r="L5" t="s">
        <v>108</v>
      </c>
    </row>
    <row r="6" spans="1:12" x14ac:dyDescent="0.35">
      <c r="A6" t="s">
        <v>102</v>
      </c>
      <c r="B6">
        <v>0.36199999999999999</v>
      </c>
      <c r="C6">
        <f>B6-0.026</f>
        <v>0.33599999999999997</v>
      </c>
      <c r="D6">
        <v>0</v>
      </c>
    </row>
    <row r="7" spans="1:12" x14ac:dyDescent="0.35">
      <c r="A7" t="s">
        <v>102</v>
      </c>
      <c r="B7">
        <v>0.29099999999999998</v>
      </c>
      <c r="C7">
        <f t="shared" si="0"/>
        <v>0.26399999999999996</v>
      </c>
      <c r="D7">
        <v>125</v>
      </c>
    </row>
    <row r="8" spans="1:12" x14ac:dyDescent="0.35">
      <c r="A8" t="s">
        <v>102</v>
      </c>
      <c r="B8">
        <v>0.30199999999999999</v>
      </c>
      <c r="C8">
        <f>B8-0.026</f>
        <v>0.27599999999999997</v>
      </c>
      <c r="D8">
        <v>125</v>
      </c>
    </row>
    <row r="9" spans="1:12" x14ac:dyDescent="0.35">
      <c r="A9" t="s">
        <v>102</v>
      </c>
      <c r="B9">
        <v>0.23799999999999999</v>
      </c>
      <c r="C9">
        <f>B9-0.026</f>
        <v>0.21199999999999999</v>
      </c>
      <c r="D9">
        <v>250</v>
      </c>
    </row>
    <row r="10" spans="1:12" x14ac:dyDescent="0.35">
      <c r="A10" t="s">
        <v>102</v>
      </c>
      <c r="B10">
        <v>0.247</v>
      </c>
      <c r="C10">
        <f>B10-0.026</f>
        <v>0.221</v>
      </c>
      <c r="D10">
        <v>250</v>
      </c>
    </row>
    <row r="11" spans="1:12" x14ac:dyDescent="0.35">
      <c r="A11" t="s">
        <v>102</v>
      </c>
      <c r="B11">
        <v>0.159</v>
      </c>
      <c r="C11">
        <f>B11-0.023</f>
        <v>0.13600000000000001</v>
      </c>
      <c r="D11">
        <v>375</v>
      </c>
    </row>
    <row r="12" spans="1:12" x14ac:dyDescent="0.35">
      <c r="A12" t="s">
        <v>102</v>
      </c>
      <c r="B12">
        <v>0.17100000000000001</v>
      </c>
      <c r="C12">
        <f>B12-0.025</f>
        <v>0.14600000000000002</v>
      </c>
      <c r="D12">
        <v>375</v>
      </c>
    </row>
    <row r="13" spans="1:12" x14ac:dyDescent="0.35">
      <c r="A13" t="s">
        <v>102</v>
      </c>
      <c r="B13">
        <v>0.13200000000000001</v>
      </c>
      <c r="C13">
        <f>B13-0.022</f>
        <v>0.11000000000000001</v>
      </c>
      <c r="D13">
        <v>500</v>
      </c>
    </row>
    <row r="14" spans="1:12" x14ac:dyDescent="0.35">
      <c r="A14" t="s">
        <v>102</v>
      </c>
      <c r="B14">
        <v>0.115</v>
      </c>
      <c r="C14">
        <f>B14-0.022</f>
        <v>9.2999999999999999E-2</v>
      </c>
      <c r="D14">
        <v>500</v>
      </c>
    </row>
    <row r="15" spans="1:12" x14ac:dyDescent="0.35">
      <c r="A15" t="s">
        <v>102</v>
      </c>
      <c r="B15">
        <v>9.5000000000000001E-2</v>
      </c>
      <c r="C15">
        <f>B15-0.022</f>
        <v>7.3000000000000009E-2</v>
      </c>
      <c r="D15">
        <v>750</v>
      </c>
    </row>
    <row r="16" spans="1:12" x14ac:dyDescent="0.35">
      <c r="A16" t="s">
        <v>102</v>
      </c>
      <c r="B16">
        <v>9.4E-2</v>
      </c>
      <c r="C16">
        <f>B16-0.022</f>
        <v>7.2000000000000008E-2</v>
      </c>
      <c r="D16">
        <v>750</v>
      </c>
    </row>
    <row r="17" spans="1:16" x14ac:dyDescent="0.35">
      <c r="A17" t="s">
        <v>102</v>
      </c>
      <c r="B17">
        <v>9.4E-2</v>
      </c>
      <c r="C17">
        <f>B17-0.024</f>
        <v>7.0000000000000007E-2</v>
      </c>
      <c r="D17">
        <v>1000</v>
      </c>
    </row>
    <row r="18" spans="1:16" x14ac:dyDescent="0.35">
      <c r="A18" t="s">
        <v>102</v>
      </c>
      <c r="B18">
        <v>9.5000000000000001E-2</v>
      </c>
      <c r="C18">
        <f>B18-0.023</f>
        <v>7.2000000000000008E-2</v>
      </c>
      <c r="D18">
        <v>1000</v>
      </c>
    </row>
    <row r="20" spans="1:16" x14ac:dyDescent="0.35">
      <c r="A20" s="8"/>
      <c r="B20" s="25" t="s">
        <v>72</v>
      </c>
      <c r="C20" s="25"/>
      <c r="D20" s="25"/>
      <c r="E20" s="25"/>
      <c r="F20" s="25"/>
      <c r="G20" s="25"/>
      <c r="H20" s="25"/>
      <c r="I20" s="26" t="s">
        <v>71</v>
      </c>
      <c r="J20" s="26"/>
      <c r="K20" s="26"/>
      <c r="L20" s="26"/>
      <c r="M20" s="26"/>
      <c r="N20" s="26"/>
      <c r="O20" s="26"/>
      <c r="P20" s="8"/>
    </row>
    <row r="21" spans="1:16" x14ac:dyDescent="0.35">
      <c r="A21" s="8" t="s">
        <v>0</v>
      </c>
      <c r="B21" s="8" t="s">
        <v>101</v>
      </c>
      <c r="C21" s="8" t="s">
        <v>104</v>
      </c>
      <c r="D21" s="8" t="s">
        <v>100</v>
      </c>
      <c r="E21" s="8" t="s">
        <v>74</v>
      </c>
      <c r="F21" s="8" t="s">
        <v>78</v>
      </c>
      <c r="G21" s="8" t="s">
        <v>105</v>
      </c>
      <c r="H21" s="8" t="s">
        <v>78</v>
      </c>
      <c r="I21" s="8" t="s">
        <v>101</v>
      </c>
      <c r="J21" s="8" t="s">
        <v>104</v>
      </c>
      <c r="K21" s="8" t="s">
        <v>100</v>
      </c>
      <c r="L21" s="8" t="s">
        <v>74</v>
      </c>
      <c r="M21" s="8" t="s">
        <v>78</v>
      </c>
      <c r="N21" s="8" t="s">
        <v>105</v>
      </c>
      <c r="O21" s="8" t="s">
        <v>78</v>
      </c>
      <c r="P21" s="8"/>
    </row>
    <row r="22" spans="1:16" x14ac:dyDescent="0.35">
      <c r="A22" s="8">
        <v>1</v>
      </c>
      <c r="B22" s="22">
        <v>0.245</v>
      </c>
      <c r="C22" s="22">
        <f>B22-0.046</f>
        <v>0.19900000000000001</v>
      </c>
      <c r="D22" s="8">
        <f xml:space="preserve"> (C22-0.3256)/(-0.0005)</f>
        <v>253.2</v>
      </c>
      <c r="E22" s="38">
        <f>AVERAGE(D22:D23)</f>
        <v>260.2</v>
      </c>
      <c r="F22" s="39">
        <f>(_xlfn.STDEV.S(D22:D23)/SQRT(2))/E22</f>
        <v>2.6902382782475018E-2</v>
      </c>
      <c r="G22" s="38">
        <f>AVERAGE(E22:E31)</f>
        <v>363.6</v>
      </c>
      <c r="H22" s="39">
        <f>(_xlfn.STDEV.S(E22:E31)/SQRT(5))/G22</f>
        <v>0.14189020443531195</v>
      </c>
      <c r="I22" s="22">
        <v>0.22800000000000001</v>
      </c>
      <c r="J22" s="22">
        <f>I22-0.147</f>
        <v>8.1000000000000016E-2</v>
      </c>
      <c r="K22" s="8">
        <f xml:space="preserve"> (J22-0.3256)/(-0.0005)</f>
        <v>489.19999999999993</v>
      </c>
      <c r="L22" s="38">
        <f>AVERAGE(K22:K23)</f>
        <v>478.19999999999993</v>
      </c>
      <c r="M22" s="39">
        <f>(_xlfn.STDEV.S(K22:K23)/SQRT(2))/L22</f>
        <v>2.3002927645336624E-2</v>
      </c>
      <c r="N22" s="38">
        <f>AVERAGE(L22:L31)</f>
        <v>438.6</v>
      </c>
      <c r="O22" s="39">
        <f>(_xlfn.STDEV.S(L22:L31)/SQRT(5))/N22</f>
        <v>3.461970432485599E-2</v>
      </c>
      <c r="P22" s="8"/>
    </row>
    <row r="23" spans="1:16" x14ac:dyDescent="0.35">
      <c r="A23" s="8">
        <v>1</v>
      </c>
      <c r="B23" s="22">
        <v>0.24299999999999999</v>
      </c>
      <c r="C23" s="22">
        <f>B23-0.051</f>
        <v>0.192</v>
      </c>
      <c r="D23" s="8">
        <f xml:space="preserve"> (C23-0.3256)/(-0.0005)</f>
        <v>267.2</v>
      </c>
      <c r="E23" s="38"/>
      <c r="F23" s="39"/>
      <c r="G23" s="38"/>
      <c r="H23" s="39"/>
      <c r="I23" s="22">
        <v>0.24399999999999999</v>
      </c>
      <c r="J23" s="22">
        <f>I23-0.152</f>
        <v>9.1999999999999998E-2</v>
      </c>
      <c r="K23" s="8">
        <f t="shared" ref="K23:K61" si="1" xml:space="preserve"> (J23-0.3256)/(-0.0005)</f>
        <v>467.2</v>
      </c>
      <c r="L23" s="38"/>
      <c r="M23" s="39"/>
      <c r="N23" s="38"/>
      <c r="O23" s="39"/>
      <c r="P23" s="8"/>
    </row>
    <row r="24" spans="1:16" x14ac:dyDescent="0.35">
      <c r="A24" s="8">
        <v>2</v>
      </c>
      <c r="B24" s="22">
        <v>0.20899999999999999</v>
      </c>
      <c r="C24" s="22">
        <f>B24-0.039</f>
        <v>0.16999999999999998</v>
      </c>
      <c r="D24" s="8">
        <f t="shared" ref="D24:D61" si="2" xml:space="preserve"> (C24-0.3256)/(-0.0005)</f>
        <v>311.20000000000005</v>
      </c>
      <c r="E24" s="38">
        <f t="shared" ref="E24" si="3">AVERAGE(D24:D25)</f>
        <v>323.2</v>
      </c>
      <c r="F24" s="39">
        <f t="shared" ref="F24" si="4">(_xlfn.STDEV.S(D24:D25)/(SQRT(2)))/E24</f>
        <v>3.7128712871286954E-2</v>
      </c>
      <c r="G24" s="38"/>
      <c r="H24" s="39"/>
      <c r="I24" s="22">
        <v>0.16500000000000001</v>
      </c>
      <c r="J24" s="22">
        <f>I24-0.074</f>
        <v>9.1000000000000011E-2</v>
      </c>
      <c r="K24" s="8">
        <f t="shared" si="1"/>
        <v>469.19999999999993</v>
      </c>
      <c r="L24" s="38">
        <f t="shared" ref="L24" si="5">AVERAGE(K24:K25)</f>
        <v>459.2</v>
      </c>
      <c r="M24" s="39">
        <f t="shared" ref="M24" si="6">(_xlfn.STDEV.S(K24:K25)/(SQRT(2)))/L24</f>
        <v>2.1777003484320431E-2</v>
      </c>
      <c r="N24" s="38"/>
      <c r="O24" s="39"/>
      <c r="P24" s="8"/>
    </row>
    <row r="25" spans="1:16" x14ac:dyDescent="0.35">
      <c r="A25" s="8">
        <v>2</v>
      </c>
      <c r="B25" s="22">
        <v>0.20100000000000001</v>
      </c>
      <c r="C25" s="22">
        <f>B25-0.043</f>
        <v>0.15800000000000003</v>
      </c>
      <c r="D25" s="8">
        <f t="shared" si="2"/>
        <v>335.19999999999993</v>
      </c>
      <c r="E25" s="38"/>
      <c r="F25" s="39"/>
      <c r="G25" s="38"/>
      <c r="H25" s="39"/>
      <c r="I25" s="22">
        <v>0.17499999999999999</v>
      </c>
      <c r="J25" s="22">
        <f t="shared" ref="J25" si="7">I25-0.074</f>
        <v>0.10099999999999999</v>
      </c>
      <c r="K25" s="8">
        <f t="shared" si="1"/>
        <v>449.20000000000005</v>
      </c>
      <c r="L25" s="38"/>
      <c r="M25" s="39"/>
      <c r="N25" s="38"/>
      <c r="O25" s="39"/>
      <c r="P25" s="8"/>
    </row>
    <row r="26" spans="1:16" x14ac:dyDescent="0.35">
      <c r="A26" s="8">
        <v>3</v>
      </c>
      <c r="B26" s="22">
        <v>0.14699999999999999</v>
      </c>
      <c r="C26" s="22">
        <f>B26-0.049</f>
        <v>9.799999999999999E-2</v>
      </c>
      <c r="D26" s="8">
        <f t="shared" si="2"/>
        <v>455.20000000000005</v>
      </c>
      <c r="E26" s="38">
        <f t="shared" ref="E26" si="8">AVERAGE(D26:D27)</f>
        <v>463.2</v>
      </c>
      <c r="F26" s="39">
        <f t="shared" ref="F26" si="9">(_xlfn.STDEV.S(D26:D27)/(SQRT(2)))/E26</f>
        <v>1.72711571675301E-2</v>
      </c>
      <c r="G26" s="38"/>
      <c r="H26" s="39"/>
      <c r="I26" s="22">
        <v>0.19500000000000001</v>
      </c>
      <c r="J26" s="22">
        <f>I26-0.096</f>
        <v>9.9000000000000005E-2</v>
      </c>
      <c r="K26" s="8">
        <f t="shared" si="1"/>
        <v>453.2</v>
      </c>
      <c r="L26" s="38">
        <f t="shared" ref="L26" si="10">AVERAGE(K26:K27)</f>
        <v>449.2</v>
      </c>
      <c r="M26" s="39">
        <f t="shared" ref="M26" si="11">(_xlfn.STDEV.S(K26:K27)/(SQRT(2)))/L26</f>
        <v>8.9047195013357075E-3</v>
      </c>
      <c r="N26" s="38"/>
      <c r="O26" s="39"/>
      <c r="P26" s="8"/>
    </row>
    <row r="27" spans="1:16" x14ac:dyDescent="0.35">
      <c r="A27" s="8">
        <v>3</v>
      </c>
      <c r="B27" s="22">
        <v>0.13900000000000001</v>
      </c>
      <c r="C27" s="22">
        <f>B27-0.049</f>
        <v>9.0000000000000011E-2</v>
      </c>
      <c r="D27" s="8">
        <f t="shared" si="2"/>
        <v>471.19999999999993</v>
      </c>
      <c r="E27" s="38"/>
      <c r="F27" s="39"/>
      <c r="G27" s="38"/>
      <c r="H27" s="39"/>
      <c r="I27" s="22">
        <v>0.19700000000000001</v>
      </c>
      <c r="J27" s="22">
        <f>I27-0.094</f>
        <v>0.10300000000000001</v>
      </c>
      <c r="K27" s="8">
        <f t="shared" si="1"/>
        <v>445.2</v>
      </c>
      <c r="L27" s="38"/>
      <c r="M27" s="39"/>
      <c r="N27" s="38"/>
      <c r="O27" s="39"/>
      <c r="P27" s="8"/>
    </row>
    <row r="28" spans="1:16" x14ac:dyDescent="0.35">
      <c r="A28" s="8">
        <v>4</v>
      </c>
      <c r="B28" s="22">
        <v>0.12</v>
      </c>
      <c r="C28" s="22">
        <f>B28-0.049</f>
        <v>7.0999999999999994E-2</v>
      </c>
      <c r="D28" s="8">
        <f t="shared" si="2"/>
        <v>509.2</v>
      </c>
      <c r="E28" s="38">
        <f t="shared" ref="E28" si="12">AVERAGE(D28:D29)</f>
        <v>508.2</v>
      </c>
      <c r="F28" s="39">
        <f t="shared" ref="F28" si="13">(_xlfn.STDEV.S(D28:D29)/(SQRT(2)))/E28</f>
        <v>1.9677292404565133E-3</v>
      </c>
      <c r="G28" s="38"/>
      <c r="H28" s="39"/>
      <c r="I28" s="22">
        <v>0.33100000000000002</v>
      </c>
      <c r="J28" s="22">
        <f>I28-0.213</f>
        <v>0.11800000000000002</v>
      </c>
      <c r="K28" s="8">
        <f t="shared" si="1"/>
        <v>415.19999999999993</v>
      </c>
      <c r="L28" s="38">
        <f t="shared" ref="L28" si="14">AVERAGE(K28:K29)</f>
        <v>403.2</v>
      </c>
      <c r="M28" s="39">
        <f t="shared" ref="M28" si="15">(_xlfn.STDEV.S(K28:K29)/(SQRT(2)))/L28</f>
        <v>2.9761904761904621E-2</v>
      </c>
      <c r="N28" s="38"/>
      <c r="O28" s="39"/>
      <c r="P28" s="8"/>
    </row>
    <row r="29" spans="1:16" x14ac:dyDescent="0.35">
      <c r="A29" s="8">
        <v>4</v>
      </c>
      <c r="B29" s="22">
        <v>0.121</v>
      </c>
      <c r="C29" s="22">
        <f>B29-0.049</f>
        <v>7.1999999999999995E-2</v>
      </c>
      <c r="D29" s="8">
        <f t="shared" si="2"/>
        <v>507.2</v>
      </c>
      <c r="E29" s="38"/>
      <c r="F29" s="39"/>
      <c r="G29" s="38"/>
      <c r="H29" s="39"/>
      <c r="I29" s="22">
        <v>0.35699999999999998</v>
      </c>
      <c r="J29" s="22">
        <f>I29-0.227</f>
        <v>0.12999999999999998</v>
      </c>
      <c r="K29" s="8">
        <f t="shared" si="1"/>
        <v>391.20000000000005</v>
      </c>
      <c r="L29" s="38"/>
      <c r="M29" s="39"/>
      <c r="N29" s="38"/>
      <c r="O29" s="39"/>
      <c r="P29" s="8"/>
    </row>
    <row r="30" spans="1:16" x14ac:dyDescent="0.35">
      <c r="A30" s="8">
        <v>5</v>
      </c>
      <c r="B30" s="22">
        <v>0.26</v>
      </c>
      <c r="C30" s="22">
        <f>B30-0.059</f>
        <v>0.20100000000000001</v>
      </c>
      <c r="D30" s="8">
        <f t="shared" si="2"/>
        <v>249.19999999999996</v>
      </c>
      <c r="E30" s="38">
        <f t="shared" ref="E30" si="16">AVERAGE(D30:D31)</f>
        <v>263.2</v>
      </c>
      <c r="F30" s="39">
        <f t="shared" ref="F30" si="17">(_xlfn.STDEV.S(D30:D31)/(SQRT(2)))/E30</f>
        <v>5.3191489361702184E-2</v>
      </c>
      <c r="G30" s="38"/>
      <c r="H30" s="39"/>
      <c r="I30" s="22">
        <v>0.24399999999999999</v>
      </c>
      <c r="J30" s="22">
        <f>I30-0.116</f>
        <v>0.128</v>
      </c>
      <c r="K30" s="8">
        <f t="shared" si="1"/>
        <v>395.2</v>
      </c>
      <c r="L30" s="38">
        <f t="shared" ref="L30" si="18">AVERAGE(K30:K31)</f>
        <v>403.2</v>
      </c>
      <c r="M30" s="39">
        <f t="shared" ref="M30" si="19">(_xlfn.STDEV.S(K30:K31)/(SQRT(2)))/L30</f>
        <v>1.984126984126984E-2</v>
      </c>
      <c r="N30" s="38"/>
      <c r="O30" s="39"/>
      <c r="P30" s="8"/>
    </row>
    <row r="31" spans="1:16" x14ac:dyDescent="0.35">
      <c r="A31" s="8">
        <v>5</v>
      </c>
      <c r="B31" s="22">
        <v>0.255</v>
      </c>
      <c r="C31" s="22">
        <f>B31-0.068</f>
        <v>0.187</v>
      </c>
      <c r="D31" s="8">
        <f t="shared" si="2"/>
        <v>277.2</v>
      </c>
      <c r="E31" s="38"/>
      <c r="F31" s="39"/>
      <c r="G31" s="38"/>
      <c r="H31" s="39"/>
      <c r="I31" s="22">
        <v>0.24299999999999999</v>
      </c>
      <c r="J31" s="22">
        <f>I31-0.123</f>
        <v>0.12</v>
      </c>
      <c r="K31" s="8">
        <f t="shared" si="1"/>
        <v>411.2</v>
      </c>
      <c r="L31" s="38"/>
      <c r="M31" s="39"/>
      <c r="N31" s="38"/>
      <c r="O31" s="39"/>
      <c r="P31" s="8"/>
    </row>
    <row r="32" spans="1:16" x14ac:dyDescent="0.35">
      <c r="A32" s="8">
        <v>6</v>
      </c>
      <c r="B32" s="22">
        <v>0.13400000000000001</v>
      </c>
      <c r="C32" s="22">
        <f>B32-0.046</f>
        <v>8.8000000000000009E-2</v>
      </c>
      <c r="D32" s="8">
        <f t="shared" si="2"/>
        <v>475.19999999999993</v>
      </c>
      <c r="E32" s="38">
        <f>AVERAGE(D32:D33)</f>
        <v>483.19999999999993</v>
      </c>
      <c r="F32" s="39">
        <f>(_xlfn.STDEV.S(D32:D33)/(SQRT(2)))/E32</f>
        <v>1.6556291390728478E-2</v>
      </c>
      <c r="G32" s="38">
        <f t="shared" ref="G32" si="20">AVERAGE(E32:E41)</f>
        <v>407.6</v>
      </c>
      <c r="H32" s="39">
        <f t="shared" ref="H32" si="21">(_xlfn.STDEV.S(E32:E41)/SQRT(5))/G32</f>
        <v>0.13391441117421968</v>
      </c>
      <c r="I32" s="22">
        <v>0.224</v>
      </c>
      <c r="J32" s="22">
        <f>I32-0.083</f>
        <v>0.14100000000000001</v>
      </c>
      <c r="K32" s="8">
        <f t="shared" si="1"/>
        <v>369.2</v>
      </c>
      <c r="L32" s="38">
        <f>AVERAGE(K32:K33)</f>
        <v>390.2</v>
      </c>
      <c r="M32" s="39">
        <f>(_xlfn.STDEV.S(K32:K33)/(SQRT(2)))/L32</f>
        <v>5.3818554587391071E-2</v>
      </c>
      <c r="N32" s="38">
        <f t="shared" ref="N32" si="22">AVERAGE(L32:L41)</f>
        <v>428.2</v>
      </c>
      <c r="O32" s="39">
        <f t="shared" ref="O32" si="23">(_xlfn.STDEV.S(L32:L41)/SQRT(5))/N32</f>
        <v>4.2094775018588902E-2</v>
      </c>
      <c r="P32" s="8"/>
    </row>
    <row r="33" spans="1:16" x14ac:dyDescent="0.35">
      <c r="A33" s="8">
        <v>6</v>
      </c>
      <c r="B33" s="22">
        <v>0.13200000000000001</v>
      </c>
      <c r="C33" s="22">
        <f>B33-0.052</f>
        <v>8.0000000000000016E-2</v>
      </c>
      <c r="D33" s="8">
        <f t="shared" si="2"/>
        <v>491.19999999999993</v>
      </c>
      <c r="E33" s="38"/>
      <c r="F33" s="39"/>
      <c r="G33" s="38"/>
      <c r="H33" s="39"/>
      <c r="I33" s="22">
        <v>0.21099999999999999</v>
      </c>
      <c r="J33" s="22">
        <f>I33-0.091</f>
        <v>0.12</v>
      </c>
      <c r="K33" s="8">
        <f t="shared" si="1"/>
        <v>411.2</v>
      </c>
      <c r="L33" s="38"/>
      <c r="M33" s="39"/>
      <c r="N33" s="38"/>
      <c r="O33" s="39"/>
      <c r="P33" s="8"/>
    </row>
    <row r="34" spans="1:16" x14ac:dyDescent="0.35">
      <c r="A34" s="8">
        <v>7</v>
      </c>
      <c r="B34" s="22">
        <v>0.246</v>
      </c>
      <c r="C34" s="22">
        <f>B34-0.055</f>
        <v>0.191</v>
      </c>
      <c r="D34" s="8">
        <f t="shared" si="2"/>
        <v>269.2</v>
      </c>
      <c r="E34" s="38">
        <f t="shared" ref="E34" si="24">AVERAGE(D34:D35)</f>
        <v>274.2</v>
      </c>
      <c r="F34" s="39">
        <f t="shared" ref="F34" si="25">(_xlfn.STDEV.S(D34:D35)/(SQRT(2)))/E34</f>
        <v>1.8234865061998541E-2</v>
      </c>
      <c r="G34" s="38"/>
      <c r="H34" s="39"/>
      <c r="I34" s="22">
        <v>0.17299999999999999</v>
      </c>
      <c r="J34" s="22">
        <f>I34-0.063</f>
        <v>0.10999999999999999</v>
      </c>
      <c r="K34" s="8">
        <f t="shared" si="1"/>
        <v>431.20000000000005</v>
      </c>
      <c r="L34" s="38">
        <f t="shared" ref="L34" si="26">AVERAGE(K34:K35)</f>
        <v>438.20000000000005</v>
      </c>
      <c r="M34" s="39">
        <f t="shared" ref="M34" si="27">(_xlfn.STDEV.S(K34:K35)/(SQRT(2)))/L34</f>
        <v>1.597444089456862E-2</v>
      </c>
      <c r="N34" s="38"/>
      <c r="O34" s="39"/>
      <c r="P34" s="8"/>
    </row>
    <row r="35" spans="1:16" x14ac:dyDescent="0.35">
      <c r="A35" s="8">
        <v>7</v>
      </c>
      <c r="B35" s="22">
        <v>0.24199999999999999</v>
      </c>
      <c r="C35" s="22">
        <f>B35-0.056</f>
        <v>0.186</v>
      </c>
      <c r="D35" s="8">
        <f t="shared" si="2"/>
        <v>279.2</v>
      </c>
      <c r="E35" s="38"/>
      <c r="F35" s="39"/>
      <c r="G35" s="38"/>
      <c r="H35" s="39"/>
      <c r="I35" s="22">
        <v>0.16700000000000001</v>
      </c>
      <c r="J35" s="22">
        <f>I35-0.064</f>
        <v>0.10300000000000001</v>
      </c>
      <c r="K35" s="8">
        <f t="shared" si="1"/>
        <v>445.2</v>
      </c>
      <c r="L35" s="38"/>
      <c r="M35" s="39"/>
      <c r="N35" s="38"/>
      <c r="O35" s="39"/>
      <c r="P35" s="8"/>
    </row>
    <row r="36" spans="1:16" x14ac:dyDescent="0.35">
      <c r="A36" s="8">
        <v>8</v>
      </c>
      <c r="B36" s="22">
        <v>0.23200000000000001</v>
      </c>
      <c r="C36" s="22">
        <f>B36-0.038</f>
        <v>0.19400000000000001</v>
      </c>
      <c r="D36" s="8">
        <f t="shared" si="2"/>
        <v>263.2</v>
      </c>
      <c r="E36" s="38">
        <f t="shared" ref="E36" si="28">AVERAGE(D36:D37)</f>
        <v>274.2</v>
      </c>
      <c r="F36" s="39">
        <f t="shared" ref="F36" si="29">(_xlfn.STDEV.S(D36:D37)/(SQRT(2)))/E36</f>
        <v>4.0116703136396786E-2</v>
      </c>
      <c r="G36" s="38"/>
      <c r="H36" s="39"/>
      <c r="I36" s="22">
        <v>0.186</v>
      </c>
      <c r="J36" s="22">
        <f>I36-0.096</f>
        <v>0.09</v>
      </c>
      <c r="K36" s="8">
        <f t="shared" si="1"/>
        <v>471.2</v>
      </c>
      <c r="L36" s="38">
        <f t="shared" ref="L36" si="30">AVERAGE(K36:K37)</f>
        <v>476.2</v>
      </c>
      <c r="M36" s="39">
        <f t="shared" ref="M36" si="31">(_xlfn.STDEV.S(K36:K37)/(SQRT(2)))/L36</f>
        <v>1.0499790004199917E-2</v>
      </c>
      <c r="N36" s="38"/>
      <c r="O36" s="39"/>
      <c r="P36" s="8"/>
    </row>
    <row r="37" spans="1:16" x14ac:dyDescent="0.35">
      <c r="A37" s="8">
        <v>8</v>
      </c>
      <c r="B37" s="22">
        <v>0.22600000000000001</v>
      </c>
      <c r="C37" s="22">
        <f>B37-0.043</f>
        <v>0.183</v>
      </c>
      <c r="D37" s="8">
        <f t="shared" si="2"/>
        <v>285.2</v>
      </c>
      <c r="E37" s="38"/>
      <c r="F37" s="39"/>
      <c r="G37" s="38"/>
      <c r="H37" s="39"/>
      <c r="I37" s="22">
        <v>0.186</v>
      </c>
      <c r="J37" s="22">
        <f>I37-0.101</f>
        <v>8.4999999999999992E-2</v>
      </c>
      <c r="K37" s="8">
        <f t="shared" si="1"/>
        <v>481.2</v>
      </c>
      <c r="L37" s="38"/>
      <c r="M37" s="39"/>
      <c r="N37" s="38"/>
      <c r="O37" s="39"/>
      <c r="P37" s="8"/>
    </row>
    <row r="38" spans="1:16" x14ac:dyDescent="0.35">
      <c r="A38" s="8">
        <v>9</v>
      </c>
      <c r="B38" s="22">
        <v>0.113</v>
      </c>
      <c r="C38" s="22">
        <f>B38-0.04</f>
        <v>7.3000000000000009E-2</v>
      </c>
      <c r="D38" s="8">
        <f t="shared" si="2"/>
        <v>505.2</v>
      </c>
      <c r="E38" s="38">
        <f t="shared" ref="E38" si="32">AVERAGE(D38:D39)</f>
        <v>502.20000000000005</v>
      </c>
      <c r="F38" s="39">
        <f t="shared" ref="F38" si="33">(_xlfn.STDEV.S(D38:D39)/(SQRT(2)))/E38</f>
        <v>5.9737156511349481E-3</v>
      </c>
      <c r="G38" s="38"/>
      <c r="H38" s="39"/>
      <c r="I38" s="22">
        <v>0.19800000000000001</v>
      </c>
      <c r="J38" s="22">
        <f>I38-0.048</f>
        <v>0.15000000000000002</v>
      </c>
      <c r="K38" s="8">
        <f t="shared" si="1"/>
        <v>351.19999999999993</v>
      </c>
      <c r="L38" s="38">
        <f t="shared" ref="L38" si="34">AVERAGE(K38:K39)</f>
        <v>383.19999999999993</v>
      </c>
      <c r="M38" s="39">
        <f t="shared" ref="M38" si="35">(_xlfn.STDEV.S(K38:K39)/(SQRT(2)))/L38</f>
        <v>8.3507306889352831E-2</v>
      </c>
      <c r="N38" s="38"/>
      <c r="O38" s="39"/>
      <c r="P38" s="8"/>
    </row>
    <row r="39" spans="1:16" x14ac:dyDescent="0.35">
      <c r="A39" s="8">
        <v>9</v>
      </c>
      <c r="B39" s="22">
        <v>0.11799999999999999</v>
      </c>
      <c r="C39" s="22">
        <f>B39-0.042</f>
        <v>7.5999999999999984E-2</v>
      </c>
      <c r="D39" s="8">
        <f t="shared" si="2"/>
        <v>499.20000000000005</v>
      </c>
      <c r="E39" s="38"/>
      <c r="F39" s="39"/>
      <c r="G39" s="38"/>
      <c r="H39" s="39"/>
      <c r="I39" s="22">
        <v>0.16900000000000001</v>
      </c>
      <c r="J39" s="22">
        <f>I39-0.051</f>
        <v>0.11800000000000002</v>
      </c>
      <c r="K39" s="8">
        <f t="shared" si="1"/>
        <v>415.19999999999993</v>
      </c>
      <c r="L39" s="38"/>
      <c r="M39" s="39"/>
      <c r="N39" s="38"/>
      <c r="O39" s="39"/>
      <c r="P39" s="8"/>
    </row>
    <row r="40" spans="1:16" x14ac:dyDescent="0.35">
      <c r="A40" s="8">
        <v>10</v>
      </c>
      <c r="B40" s="22">
        <v>0.11799999999999999</v>
      </c>
      <c r="C40" s="22">
        <f>B40-0.041</f>
        <v>7.6999999999999985E-2</v>
      </c>
      <c r="D40" s="8">
        <f t="shared" si="2"/>
        <v>497.20000000000005</v>
      </c>
      <c r="E40" s="38">
        <f t="shared" ref="E40" si="36">AVERAGE(D40:D41)</f>
        <v>504.20000000000005</v>
      </c>
      <c r="F40" s="39">
        <f t="shared" ref="F40" si="37">(_xlfn.STDEV.S(D40:D41)/(SQRT(2)))/E40</f>
        <v>1.3883379611265312E-2</v>
      </c>
      <c r="G40" s="38"/>
      <c r="H40" s="39"/>
      <c r="I40" s="22">
        <v>0.16300000000000001</v>
      </c>
      <c r="J40" s="22">
        <f>I40-0.059</f>
        <v>0.10400000000000001</v>
      </c>
      <c r="K40" s="8">
        <f t="shared" si="1"/>
        <v>443.2</v>
      </c>
      <c r="L40" s="38">
        <f t="shared" ref="L40" si="38">AVERAGE(K40:K41)</f>
        <v>453.2</v>
      </c>
      <c r="M40" s="39">
        <f t="shared" ref="M40" si="39">(_xlfn.STDEV.S(K40:K41)/(SQRT(2)))/L40</f>
        <v>2.2065313327449251E-2</v>
      </c>
      <c r="N40" s="38"/>
      <c r="O40" s="39"/>
      <c r="P40" s="8"/>
    </row>
    <row r="41" spans="1:16" x14ac:dyDescent="0.35">
      <c r="A41" s="8">
        <v>10</v>
      </c>
      <c r="B41" s="22">
        <v>0.112</v>
      </c>
      <c r="C41" s="22">
        <f>B41-0.042</f>
        <v>7.0000000000000007E-2</v>
      </c>
      <c r="D41" s="8">
        <f t="shared" si="2"/>
        <v>511.2</v>
      </c>
      <c r="E41" s="38"/>
      <c r="F41" s="39"/>
      <c r="G41" s="38"/>
      <c r="H41" s="39"/>
      <c r="I41" s="22">
        <v>0.153</v>
      </c>
      <c r="J41" s="22">
        <f>I41-0.059</f>
        <v>9.4E-2</v>
      </c>
      <c r="K41" s="8">
        <f t="shared" si="1"/>
        <v>463.2</v>
      </c>
      <c r="L41" s="38"/>
      <c r="M41" s="39"/>
      <c r="N41" s="38"/>
      <c r="O41" s="39"/>
      <c r="P41" s="8"/>
    </row>
    <row r="42" spans="1:16" x14ac:dyDescent="0.35">
      <c r="A42" s="8">
        <v>11</v>
      </c>
      <c r="B42" s="22">
        <v>0.26800000000000002</v>
      </c>
      <c r="C42" s="22">
        <f>B42-0.048</f>
        <v>0.22000000000000003</v>
      </c>
      <c r="D42" s="8">
        <f t="shared" si="2"/>
        <v>211.19999999999993</v>
      </c>
      <c r="E42" s="38">
        <f>AVERAGE(D42:D43)</f>
        <v>215.19999999999993</v>
      </c>
      <c r="F42" s="39">
        <f>(_xlfn.STDEV.S(D42:D43)/(SQRT(2)))/E42</f>
        <v>1.8587360594795543E-2</v>
      </c>
      <c r="G42" s="38">
        <f t="shared" ref="G42" si="40">AVERAGE(E42:E51)</f>
        <v>366.99999999999989</v>
      </c>
      <c r="H42" s="39">
        <f t="shared" ref="H42" si="41">(_xlfn.STDEV.S(E42:E51)/SQRT(5))/G42</f>
        <v>0.15108346853455856</v>
      </c>
      <c r="I42" s="22">
        <v>0.29599999999999999</v>
      </c>
      <c r="J42" s="22">
        <f>I42-0.132</f>
        <v>0.16399999999999998</v>
      </c>
      <c r="K42" s="8">
        <f t="shared" si="1"/>
        <v>323.20000000000005</v>
      </c>
      <c r="L42" s="38">
        <f>AVERAGE(K42:K43)</f>
        <v>338.20000000000005</v>
      </c>
      <c r="M42" s="39">
        <f>(_xlfn.STDEV.S(K42:K43)/(SQRT(2)))/L42</f>
        <v>4.4352454169130688E-2</v>
      </c>
      <c r="N42" s="38">
        <f t="shared" ref="N42" si="42">AVERAGE(L42:L51)</f>
        <v>343.4</v>
      </c>
      <c r="O42" s="39">
        <f t="shared" ref="O42" si="43">(_xlfn.STDEV.S(L42:L51)/SQRT(5))/N42</f>
        <v>3.6387883591518053E-2</v>
      </c>
      <c r="P42" s="8"/>
    </row>
    <row r="43" spans="1:16" x14ac:dyDescent="0.35">
      <c r="A43" s="8">
        <v>11</v>
      </c>
      <c r="B43" s="22">
        <v>0.26400000000000001</v>
      </c>
      <c r="C43" s="22">
        <f>B43-0.048</f>
        <v>0.21600000000000003</v>
      </c>
      <c r="D43" s="8">
        <f t="shared" si="2"/>
        <v>219.19999999999993</v>
      </c>
      <c r="E43" s="38"/>
      <c r="F43" s="39"/>
      <c r="G43" s="38"/>
      <c r="H43" s="39"/>
      <c r="I43" s="22">
        <v>0.28199999999999997</v>
      </c>
      <c r="J43" s="22">
        <f>I43-0.133</f>
        <v>0.14899999999999997</v>
      </c>
      <c r="K43" s="8">
        <f t="shared" si="1"/>
        <v>353.20000000000005</v>
      </c>
      <c r="L43" s="38"/>
      <c r="M43" s="39"/>
      <c r="N43" s="38"/>
      <c r="O43" s="39"/>
      <c r="P43" s="8"/>
    </row>
    <row r="44" spans="1:16" x14ac:dyDescent="0.35">
      <c r="A44" s="8">
        <v>12</v>
      </c>
      <c r="B44" s="22">
        <v>0.251</v>
      </c>
      <c r="C44" s="22">
        <f>B44-0.059</f>
        <v>0.192</v>
      </c>
      <c r="D44" s="8">
        <f t="shared" si="2"/>
        <v>267.2</v>
      </c>
      <c r="E44" s="38">
        <f t="shared" ref="E44" si="44">AVERAGE(D44:D45)</f>
        <v>269.2</v>
      </c>
      <c r="F44" s="39">
        <f t="shared" ref="F44" si="45">(_xlfn.STDEV.S(D44:D45)/(SQRT(2)))/E44</f>
        <v>7.4294205052005948E-3</v>
      </c>
      <c r="G44" s="38"/>
      <c r="H44" s="39"/>
      <c r="I44" s="22">
        <v>0.33900000000000002</v>
      </c>
      <c r="J44" s="22">
        <f>I44-0.161</f>
        <v>0.17800000000000002</v>
      </c>
      <c r="K44" s="8">
        <f t="shared" si="1"/>
        <v>295.19999999999993</v>
      </c>
      <c r="L44" s="38">
        <f t="shared" ref="L44" si="46">AVERAGE(K44:K45)</f>
        <v>301.19999999999993</v>
      </c>
      <c r="M44" s="39">
        <f t="shared" ref="M44" si="47">(_xlfn.STDEV.S(K44:K45)/(SQRT(2)))/L44</f>
        <v>1.9920318725099698E-2</v>
      </c>
      <c r="N44" s="38"/>
      <c r="O44" s="39"/>
      <c r="P44" s="8"/>
    </row>
    <row r="45" spans="1:16" x14ac:dyDescent="0.35">
      <c r="A45" s="8">
        <v>12</v>
      </c>
      <c r="B45" s="22">
        <v>0.25</v>
      </c>
      <c r="C45" s="22">
        <f>B45-0.06</f>
        <v>0.19</v>
      </c>
      <c r="D45" s="8">
        <f t="shared" si="2"/>
        <v>271.2</v>
      </c>
      <c r="E45" s="38"/>
      <c r="F45" s="39"/>
      <c r="G45" s="38"/>
      <c r="H45" s="39"/>
      <c r="I45" s="22">
        <v>0.33800000000000002</v>
      </c>
      <c r="J45" s="22">
        <f>I45-0.166</f>
        <v>0.17200000000000001</v>
      </c>
      <c r="K45" s="8">
        <f t="shared" si="1"/>
        <v>307.2</v>
      </c>
      <c r="L45" s="38"/>
      <c r="M45" s="39"/>
      <c r="N45" s="38"/>
      <c r="O45" s="39"/>
      <c r="P45" s="8"/>
    </row>
    <row r="46" spans="1:16" x14ac:dyDescent="0.35">
      <c r="A46" s="8">
        <v>13</v>
      </c>
      <c r="B46" s="22">
        <v>0.123</v>
      </c>
      <c r="C46" s="22">
        <f>B46-0.045</f>
        <v>7.8E-2</v>
      </c>
      <c r="D46" s="8">
        <f t="shared" si="2"/>
        <v>495.2</v>
      </c>
      <c r="E46" s="38">
        <f t="shared" ref="E46" si="48">AVERAGE(D46:D47)</f>
        <v>499.2</v>
      </c>
      <c r="F46" s="39">
        <f t="shared" ref="F46" si="49">(_xlfn.STDEV.S(D46:D47)/(SQRT(2)))/E46</f>
        <v>8.0128205128205138E-3</v>
      </c>
      <c r="G46" s="38"/>
      <c r="H46" s="39"/>
      <c r="I46" s="22">
        <v>0.251</v>
      </c>
      <c r="J46" s="22">
        <f>I46-0.1</f>
        <v>0.151</v>
      </c>
      <c r="K46" s="8">
        <f t="shared" si="1"/>
        <v>349.2</v>
      </c>
      <c r="L46" s="38">
        <f t="shared" ref="L46" si="50">AVERAGE(K46:K47)</f>
        <v>365.2</v>
      </c>
      <c r="M46" s="39">
        <f t="shared" ref="M46" si="51">(_xlfn.STDEV.S(K46:K47)/(SQRT(2)))/L46</f>
        <v>4.3811610076670317E-2</v>
      </c>
      <c r="N46" s="38"/>
      <c r="O46" s="39"/>
      <c r="P46" s="8"/>
    </row>
    <row r="47" spans="1:16" x14ac:dyDescent="0.35">
      <c r="A47" s="8">
        <v>13</v>
      </c>
      <c r="B47" s="22">
        <v>0.125</v>
      </c>
      <c r="C47" s="22">
        <f>B47-0.051</f>
        <v>7.400000000000001E-2</v>
      </c>
      <c r="D47" s="8">
        <f t="shared" si="2"/>
        <v>503.2</v>
      </c>
      <c r="E47" s="38"/>
      <c r="F47" s="39"/>
      <c r="G47" s="38"/>
      <c r="H47" s="39"/>
      <c r="I47" s="22">
        <v>0.23899999999999999</v>
      </c>
      <c r="J47" s="22">
        <f>I47-0.104</f>
        <v>0.13500000000000001</v>
      </c>
      <c r="K47" s="8">
        <f t="shared" si="1"/>
        <v>381.2</v>
      </c>
      <c r="L47" s="38"/>
      <c r="M47" s="39"/>
      <c r="N47" s="38"/>
      <c r="O47" s="39"/>
      <c r="P47" s="8"/>
    </row>
    <row r="48" spans="1:16" x14ac:dyDescent="0.35">
      <c r="A48" s="8">
        <v>14</v>
      </c>
      <c r="B48" s="22">
        <v>0.16400000000000001</v>
      </c>
      <c r="C48" s="22">
        <f>B48-0.066</f>
        <v>9.8000000000000004E-2</v>
      </c>
      <c r="D48" s="8">
        <f t="shared" si="2"/>
        <v>455.2</v>
      </c>
      <c r="E48" s="38">
        <f>AVERAGE(D48:D49)</f>
        <v>473.19999999999993</v>
      </c>
      <c r="F48" s="39">
        <f>(_xlfn.STDEV.S(D48:D49)/(SQRT(2)))/E48</f>
        <v>3.8038884192730292E-2</v>
      </c>
      <c r="G48" s="38"/>
      <c r="H48" s="39"/>
      <c r="I48" s="22">
        <v>0.24099999999999999</v>
      </c>
      <c r="J48" s="22">
        <f>I48-0.087</f>
        <v>0.154</v>
      </c>
      <c r="K48" s="8">
        <f t="shared" si="1"/>
        <v>343.2</v>
      </c>
      <c r="L48" s="38">
        <f>AVERAGE(K48:K49)</f>
        <v>372.2</v>
      </c>
      <c r="M48" s="39">
        <f>(_xlfn.STDEV.S(K48:K49)/(SQRT(2)))/L48</f>
        <v>7.7915099408919927E-2</v>
      </c>
      <c r="N48" s="38"/>
      <c r="O48" s="39"/>
      <c r="P48" s="8"/>
    </row>
    <row r="49" spans="1:16" x14ac:dyDescent="0.35">
      <c r="A49" s="8">
        <v>14</v>
      </c>
      <c r="B49" s="22">
        <v>0.16500000000000001</v>
      </c>
      <c r="C49" s="22">
        <f>B49-0.085</f>
        <v>0.08</v>
      </c>
      <c r="D49" s="8">
        <f t="shared" si="2"/>
        <v>491.19999999999993</v>
      </c>
      <c r="E49" s="38"/>
      <c r="F49" s="39"/>
      <c r="G49" s="38"/>
      <c r="H49" s="39"/>
      <c r="I49" s="22">
        <v>0.22900000000000001</v>
      </c>
      <c r="J49" s="22">
        <f>I49-0.104</f>
        <v>0.125</v>
      </c>
      <c r="K49" s="8">
        <f t="shared" si="1"/>
        <v>401.2</v>
      </c>
      <c r="L49" s="38"/>
      <c r="M49" s="39"/>
      <c r="N49" s="38"/>
      <c r="O49" s="39"/>
      <c r="P49" s="8"/>
    </row>
    <row r="50" spans="1:16" x14ac:dyDescent="0.35">
      <c r="A50" s="8">
        <v>15</v>
      </c>
      <c r="B50" s="22">
        <v>0.23</v>
      </c>
      <c r="C50" s="22">
        <f>B50-0.086</f>
        <v>0.14400000000000002</v>
      </c>
      <c r="D50" s="8">
        <f t="shared" si="2"/>
        <v>363.19999999999993</v>
      </c>
      <c r="E50" s="38">
        <f t="shared" ref="E50" si="52">AVERAGE(D50:D51)</f>
        <v>378.19999999999993</v>
      </c>
      <c r="F50" s="39">
        <f t="shared" ref="F50" si="53">(_xlfn.STDEV.S(D50:D51)/(SQRT(2)))/E50</f>
        <v>3.9661554732945609E-2</v>
      </c>
      <c r="G50" s="38"/>
      <c r="H50" s="39"/>
      <c r="I50" s="22">
        <v>0.41799999999999998</v>
      </c>
      <c r="J50" s="22">
        <f>I50-0.251</f>
        <v>0.16699999999999998</v>
      </c>
      <c r="K50" s="8">
        <f t="shared" si="1"/>
        <v>317.20000000000005</v>
      </c>
      <c r="L50" s="38">
        <f t="shared" ref="L50" si="54">AVERAGE(K50:K51)</f>
        <v>340.2</v>
      </c>
      <c r="M50" s="39">
        <f t="shared" ref="M50" si="55">(_xlfn.STDEV.S(K50:K51)/(SQRT(2)))/L50</f>
        <v>6.7607289829511891E-2</v>
      </c>
      <c r="N50" s="38"/>
      <c r="O50" s="39"/>
      <c r="P50" s="8"/>
    </row>
    <row r="51" spans="1:16" x14ac:dyDescent="0.35">
      <c r="A51" s="8">
        <v>15</v>
      </c>
      <c r="B51" s="22">
        <v>0.23899999999999999</v>
      </c>
      <c r="C51" s="22">
        <f>B51-0.11</f>
        <v>0.129</v>
      </c>
      <c r="D51" s="8">
        <f t="shared" si="2"/>
        <v>393.2</v>
      </c>
      <c r="E51" s="38"/>
      <c r="F51" s="39"/>
      <c r="G51" s="38"/>
      <c r="H51" s="39"/>
      <c r="I51" s="22">
        <v>0.432</v>
      </c>
      <c r="J51" s="22">
        <f>I51-0.288</f>
        <v>0.14400000000000002</v>
      </c>
      <c r="K51" s="8">
        <f t="shared" si="1"/>
        <v>363.19999999999993</v>
      </c>
      <c r="L51" s="38"/>
      <c r="M51" s="39"/>
      <c r="N51" s="38"/>
      <c r="O51" s="39"/>
      <c r="P51" s="8"/>
    </row>
    <row r="52" spans="1:16" x14ac:dyDescent="0.35">
      <c r="A52" s="8">
        <v>16</v>
      </c>
      <c r="B52" s="22">
        <v>0.126</v>
      </c>
      <c r="C52" s="22">
        <f>B52-0.045</f>
        <v>8.1000000000000003E-2</v>
      </c>
      <c r="D52" s="8">
        <f t="shared" si="2"/>
        <v>489.19999999999993</v>
      </c>
      <c r="E52" s="38">
        <f t="shared" ref="E52" si="56">AVERAGE(D52:D53)</f>
        <v>490.19999999999993</v>
      </c>
      <c r="F52" s="39">
        <f t="shared" ref="F52" si="57">(_xlfn.STDEV.S(D52:D53)/(SQRT(2)))/E52</f>
        <v>2.0399836801305591E-3</v>
      </c>
      <c r="G52" s="38">
        <f t="shared" ref="G52" si="58">AVERAGE(E52:E61)</f>
        <v>422.6</v>
      </c>
      <c r="H52" s="39">
        <f t="shared" ref="H52" si="59">(_xlfn.STDEV.S(E52:E61)/SQRT(5))/G52</f>
        <v>5.7412012446505102E-2</v>
      </c>
      <c r="I52" s="22">
        <v>0.20200000000000001</v>
      </c>
      <c r="J52" s="22">
        <f>I52-0.078</f>
        <v>0.12400000000000001</v>
      </c>
      <c r="K52" s="8">
        <f t="shared" si="1"/>
        <v>403.2</v>
      </c>
      <c r="L52" s="38">
        <f t="shared" ref="L52" si="60">AVERAGE(K52:K53)</f>
        <v>420.20000000000005</v>
      </c>
      <c r="M52" s="39">
        <f t="shared" ref="M52" si="61">(_xlfn.STDEV.S(K52:K53)/(SQRT(2)))/L52</f>
        <v>4.0456925273679264E-2</v>
      </c>
      <c r="N52" s="38">
        <f t="shared" ref="N52" si="62">AVERAGE(L52:L61)</f>
        <v>391.6</v>
      </c>
      <c r="O52" s="39">
        <f t="shared" ref="O52" si="63">(_xlfn.STDEV.S(L52:L61)/SQRT(5))/N52</f>
        <v>2.8557259568834072E-2</v>
      </c>
      <c r="P52" s="8"/>
    </row>
    <row r="53" spans="1:16" x14ac:dyDescent="0.35">
      <c r="A53" s="8">
        <v>16</v>
      </c>
      <c r="B53" s="22">
        <v>0.125</v>
      </c>
      <c r="C53" s="22">
        <f>B53-0.045</f>
        <v>0.08</v>
      </c>
      <c r="D53" s="8">
        <f t="shared" si="2"/>
        <v>491.19999999999993</v>
      </c>
      <c r="E53" s="38"/>
      <c r="F53" s="39"/>
      <c r="G53" s="38"/>
      <c r="H53" s="39"/>
      <c r="I53" s="22">
        <v>0.184</v>
      </c>
      <c r="J53" s="22">
        <f>I53-0.077</f>
        <v>0.107</v>
      </c>
      <c r="K53" s="8">
        <f t="shared" si="1"/>
        <v>437.20000000000005</v>
      </c>
      <c r="L53" s="38"/>
      <c r="M53" s="39"/>
      <c r="N53" s="38"/>
      <c r="O53" s="39"/>
      <c r="P53" s="8"/>
    </row>
    <row r="54" spans="1:16" x14ac:dyDescent="0.35">
      <c r="A54" s="8">
        <v>17</v>
      </c>
      <c r="B54" s="22">
        <v>0.17799999999999999</v>
      </c>
      <c r="C54" s="22">
        <f>B54-0.075</f>
        <v>0.10299999999999999</v>
      </c>
      <c r="D54" s="8">
        <f t="shared" si="2"/>
        <v>445.20000000000005</v>
      </c>
      <c r="E54" s="38">
        <f t="shared" ref="E54" si="64">AVERAGE(D54:D55)</f>
        <v>442.20000000000005</v>
      </c>
      <c r="F54" s="39">
        <f t="shared" ref="F54" si="65">(_xlfn.STDEV.S(D54:D55)/(SQRT(2)))/E54</f>
        <v>6.7842605156038628E-3</v>
      </c>
      <c r="G54" s="38"/>
      <c r="H54" s="39"/>
      <c r="I54" s="22">
        <v>0.23499999999999999</v>
      </c>
      <c r="J54" s="22">
        <f>I54-0.109</f>
        <v>0.126</v>
      </c>
      <c r="K54" s="8">
        <f t="shared" si="1"/>
        <v>399.2</v>
      </c>
      <c r="L54" s="38">
        <f t="shared" ref="L54" si="66">AVERAGE(K54:K55)</f>
        <v>397.2</v>
      </c>
      <c r="M54" s="39">
        <f t="shared" ref="M54" si="67">(_xlfn.STDEV.S(K54:K55)/(SQRT(2)))/L54</f>
        <v>5.0352467270896274E-3</v>
      </c>
      <c r="N54" s="38"/>
      <c r="O54" s="39"/>
      <c r="P54" s="8"/>
    </row>
    <row r="55" spans="1:16" x14ac:dyDescent="0.35">
      <c r="A55" s="8">
        <v>17</v>
      </c>
      <c r="B55" s="22">
        <v>0.22800000000000001</v>
      </c>
      <c r="C55" s="22">
        <f>B55-0.122</f>
        <v>0.10600000000000001</v>
      </c>
      <c r="D55" s="8">
        <f t="shared" si="2"/>
        <v>439.2</v>
      </c>
      <c r="E55" s="38"/>
      <c r="F55" s="39"/>
      <c r="G55" s="38"/>
      <c r="H55" s="39"/>
      <c r="I55" s="22">
        <v>0.23799999999999999</v>
      </c>
      <c r="J55" s="22">
        <f>I55-0.11</f>
        <v>0.128</v>
      </c>
      <c r="K55" s="8">
        <f t="shared" si="1"/>
        <v>395.2</v>
      </c>
      <c r="L55" s="38"/>
      <c r="M55" s="39"/>
      <c r="N55" s="38"/>
      <c r="O55" s="39"/>
      <c r="P55" s="8"/>
    </row>
    <row r="56" spans="1:16" x14ac:dyDescent="0.35">
      <c r="A56" s="8">
        <v>18</v>
      </c>
      <c r="B56" s="22">
        <v>0.153</v>
      </c>
      <c r="C56" s="22">
        <f>B56-0.05</f>
        <v>0.10299999999999999</v>
      </c>
      <c r="D56" s="8">
        <f t="shared" si="2"/>
        <v>445.20000000000005</v>
      </c>
      <c r="E56" s="38">
        <f>AVERAGE(D56:D57)</f>
        <v>417.20000000000005</v>
      </c>
      <c r="F56" s="39">
        <f>(_xlfn.STDEV.S(D56:D57)/(SQRT(2)))/E56</f>
        <v>6.7114093959731599E-2</v>
      </c>
      <c r="G56" s="38"/>
      <c r="H56" s="39"/>
      <c r="I56" s="22">
        <v>0.20300000000000001</v>
      </c>
      <c r="J56" s="22">
        <f>I56-0.06</f>
        <v>0.14300000000000002</v>
      </c>
      <c r="K56" s="8">
        <f t="shared" si="1"/>
        <v>365.2</v>
      </c>
      <c r="L56" s="38">
        <f>AVERAGE(K56:K57)</f>
        <v>366.20000000000005</v>
      </c>
      <c r="M56" s="39">
        <f>(_xlfn.STDEV.S(K56:K57)/(SQRT(2)))/L56</f>
        <v>2.730748225013731E-3</v>
      </c>
      <c r="N56" s="38"/>
      <c r="O56" s="39"/>
      <c r="P56" s="8"/>
    </row>
    <row r="57" spans="1:16" x14ac:dyDescent="0.35">
      <c r="A57" s="8">
        <v>18</v>
      </c>
      <c r="B57" s="22">
        <v>0.19700000000000001</v>
      </c>
      <c r="C57" s="22">
        <f>B57-0.066</f>
        <v>0.13100000000000001</v>
      </c>
      <c r="D57" s="8">
        <f t="shared" si="2"/>
        <v>389.2</v>
      </c>
      <c r="E57" s="38"/>
      <c r="F57" s="39"/>
      <c r="G57" s="38"/>
      <c r="H57" s="39"/>
      <c r="I57" s="22">
        <v>0.20699999999999999</v>
      </c>
      <c r="J57" s="22">
        <f>I57-0.065</f>
        <v>0.14199999999999999</v>
      </c>
      <c r="K57" s="8">
        <f t="shared" si="1"/>
        <v>367.20000000000005</v>
      </c>
      <c r="L57" s="38"/>
      <c r="M57" s="39"/>
      <c r="N57" s="38"/>
      <c r="O57" s="39"/>
      <c r="P57" s="8"/>
    </row>
    <row r="58" spans="1:16" x14ac:dyDescent="0.35">
      <c r="A58" s="8">
        <v>19</v>
      </c>
      <c r="B58" s="22">
        <v>0.14699999999999999</v>
      </c>
      <c r="C58" s="22">
        <f>B58-0.056</f>
        <v>9.0999999999999998E-2</v>
      </c>
      <c r="D58" s="8">
        <f t="shared" si="2"/>
        <v>469.2</v>
      </c>
      <c r="E58" s="38">
        <f t="shared" ref="E58" si="68">AVERAGE(D58:D59)</f>
        <v>423.2</v>
      </c>
      <c r="F58" s="39">
        <f t="shared" ref="F58" si="69">(_xlfn.STDEV.S(D58:D59)/(SQRT(2)))/E58</f>
        <v>0.10869565217391304</v>
      </c>
      <c r="G58" s="38"/>
      <c r="H58" s="39"/>
      <c r="I58" s="22">
        <v>0.25800000000000001</v>
      </c>
      <c r="J58" s="22">
        <f>I58-0.116</f>
        <v>0.14200000000000002</v>
      </c>
      <c r="K58" s="8">
        <f t="shared" si="1"/>
        <v>367.2</v>
      </c>
      <c r="L58" s="38">
        <f t="shared" ref="L58" si="70">AVERAGE(K58:K59)</f>
        <v>365.19999999999993</v>
      </c>
      <c r="M58" s="39">
        <f t="shared" ref="M58" si="71">(_xlfn.STDEV.S(K58:K59)/(SQRT(2)))/L58</f>
        <v>5.4764512595838685E-3</v>
      </c>
      <c r="N58" s="38"/>
      <c r="O58" s="39"/>
      <c r="P58" s="8"/>
    </row>
    <row r="59" spans="1:16" x14ac:dyDescent="0.35">
      <c r="A59" s="8">
        <v>19</v>
      </c>
      <c r="B59" s="22">
        <v>0.25600000000000001</v>
      </c>
      <c r="C59" s="22">
        <f>B59-0.119</f>
        <v>0.13700000000000001</v>
      </c>
      <c r="D59" s="8">
        <f t="shared" si="2"/>
        <v>377.2</v>
      </c>
      <c r="E59" s="38"/>
      <c r="F59" s="39"/>
      <c r="G59" s="38"/>
      <c r="H59" s="39"/>
      <c r="I59" s="22">
        <v>0.26500000000000001</v>
      </c>
      <c r="J59" s="22">
        <f>I59-0.121</f>
        <v>0.14400000000000002</v>
      </c>
      <c r="K59" s="8">
        <f t="shared" si="1"/>
        <v>363.19999999999993</v>
      </c>
      <c r="L59" s="38"/>
      <c r="M59" s="39"/>
      <c r="N59" s="38"/>
      <c r="O59" s="39"/>
      <c r="P59" s="8"/>
    </row>
    <row r="60" spans="1:16" x14ac:dyDescent="0.35">
      <c r="A60" s="8">
        <v>20</v>
      </c>
      <c r="B60" s="22">
        <v>0.25700000000000001</v>
      </c>
      <c r="C60" s="22">
        <f>B60-0.07</f>
        <v>0.187</v>
      </c>
      <c r="D60" s="8">
        <f t="shared" si="2"/>
        <v>277.2</v>
      </c>
      <c r="E60" s="38">
        <f t="shared" ref="E60" si="72">AVERAGE(D60:D61)</f>
        <v>340.2</v>
      </c>
      <c r="F60" s="42">
        <f t="shared" ref="F60" si="73">(_xlfn.STDEV.S(D60:D61)/(SQRT(2)))/E60</f>
        <v>0.18518518518518517</v>
      </c>
      <c r="G60" s="38"/>
      <c r="H60" s="39"/>
      <c r="I60" s="22">
        <v>0.24399999999999999</v>
      </c>
      <c r="J60" s="22">
        <f>I60-0.126</f>
        <v>0.11799999999999999</v>
      </c>
      <c r="K60" s="8">
        <f t="shared" si="1"/>
        <v>415.2</v>
      </c>
      <c r="L60" s="38">
        <f t="shared" ref="L60" si="74">AVERAGE(K60:K61)</f>
        <v>409.2</v>
      </c>
      <c r="M60" s="43">
        <f t="shared" ref="M60" si="75">(_xlfn.STDEV.S(K60:K61)/(SQRT(2)))/L60</f>
        <v>1.4662756598240467E-2</v>
      </c>
      <c r="N60" s="38"/>
      <c r="O60" s="39"/>
      <c r="P60" s="8"/>
    </row>
    <row r="61" spans="1:16" x14ac:dyDescent="0.35">
      <c r="A61" s="8">
        <v>20</v>
      </c>
      <c r="B61" s="22">
        <v>0.251</v>
      </c>
      <c r="C61" s="22">
        <f>B61-0.127</f>
        <v>0.124</v>
      </c>
      <c r="D61" s="8">
        <f t="shared" si="2"/>
        <v>403.2</v>
      </c>
      <c r="E61" s="38"/>
      <c r="F61" s="42"/>
      <c r="G61" s="38"/>
      <c r="H61" s="39"/>
      <c r="I61" s="22">
        <v>0.249</v>
      </c>
      <c r="J61" s="22">
        <f>I61-0.125</f>
        <v>0.124</v>
      </c>
      <c r="K61" s="8">
        <f t="shared" si="1"/>
        <v>403.2</v>
      </c>
      <c r="L61" s="38"/>
      <c r="M61" s="43"/>
      <c r="N61" s="38"/>
      <c r="O61" s="39"/>
      <c r="P61" s="8"/>
    </row>
  </sheetData>
  <mergeCells count="96">
    <mergeCell ref="E22:E23"/>
    <mergeCell ref="F22:F23"/>
    <mergeCell ref="E24:E25"/>
    <mergeCell ref="F24:F25"/>
    <mergeCell ref="E26:E27"/>
    <mergeCell ref="F26:F27"/>
    <mergeCell ref="E28:E29"/>
    <mergeCell ref="F28:F29"/>
    <mergeCell ref="E30:E31"/>
    <mergeCell ref="F30:F31"/>
    <mergeCell ref="E32:E33"/>
    <mergeCell ref="F32:F33"/>
    <mergeCell ref="E34:E35"/>
    <mergeCell ref="F34:F35"/>
    <mergeCell ref="E36:E37"/>
    <mergeCell ref="F36:F37"/>
    <mergeCell ref="E38:E39"/>
    <mergeCell ref="F38:F39"/>
    <mergeCell ref="F48:F49"/>
    <mergeCell ref="E50:E51"/>
    <mergeCell ref="F50:F51"/>
    <mergeCell ref="E40:E41"/>
    <mergeCell ref="F40:F41"/>
    <mergeCell ref="E42:E43"/>
    <mergeCell ref="F42:F43"/>
    <mergeCell ref="E44:E45"/>
    <mergeCell ref="F44:F45"/>
    <mergeCell ref="E58:E59"/>
    <mergeCell ref="F58:F59"/>
    <mergeCell ref="E60:E61"/>
    <mergeCell ref="F60:F61"/>
    <mergeCell ref="G22:G31"/>
    <mergeCell ref="G32:G41"/>
    <mergeCell ref="G42:G51"/>
    <mergeCell ref="E52:E53"/>
    <mergeCell ref="F52:F53"/>
    <mergeCell ref="E54:E55"/>
    <mergeCell ref="F54:F55"/>
    <mergeCell ref="E56:E57"/>
    <mergeCell ref="F56:F57"/>
    <mergeCell ref="E46:E47"/>
    <mergeCell ref="F46:F47"/>
    <mergeCell ref="E48:E49"/>
    <mergeCell ref="G52:G61"/>
    <mergeCell ref="H52:H61"/>
    <mergeCell ref="L22:L23"/>
    <mergeCell ref="M22:M23"/>
    <mergeCell ref="L24:L25"/>
    <mergeCell ref="M24:M25"/>
    <mergeCell ref="L26:L27"/>
    <mergeCell ref="M26:M27"/>
    <mergeCell ref="L28:L29"/>
    <mergeCell ref="M28:M29"/>
    <mergeCell ref="H22:H31"/>
    <mergeCell ref="H32:H41"/>
    <mergeCell ref="H42:H51"/>
    <mergeCell ref="L30:L31"/>
    <mergeCell ref="M30:M31"/>
    <mergeCell ref="L32:L33"/>
    <mergeCell ref="M32:M33"/>
    <mergeCell ref="L34:L35"/>
    <mergeCell ref="M34:M35"/>
    <mergeCell ref="L36:L37"/>
    <mergeCell ref="M36:M37"/>
    <mergeCell ref="L38:L39"/>
    <mergeCell ref="M38:M39"/>
    <mergeCell ref="L40:L41"/>
    <mergeCell ref="M40:M41"/>
    <mergeCell ref="L42:L43"/>
    <mergeCell ref="M42:M43"/>
    <mergeCell ref="L44:L45"/>
    <mergeCell ref="M44:M45"/>
    <mergeCell ref="L46:L47"/>
    <mergeCell ref="M46:M47"/>
    <mergeCell ref="L48:L49"/>
    <mergeCell ref="M48:M49"/>
    <mergeCell ref="L50:L51"/>
    <mergeCell ref="M50:M51"/>
    <mergeCell ref="L52:L53"/>
    <mergeCell ref="M52:M53"/>
    <mergeCell ref="L60:L61"/>
    <mergeCell ref="M60:M61"/>
    <mergeCell ref="N22:N31"/>
    <mergeCell ref="O22:O31"/>
    <mergeCell ref="N32:N41"/>
    <mergeCell ref="O32:O41"/>
    <mergeCell ref="N42:N51"/>
    <mergeCell ref="O42:O51"/>
    <mergeCell ref="N52:N61"/>
    <mergeCell ref="O52:O61"/>
    <mergeCell ref="L54:L55"/>
    <mergeCell ref="M54:M55"/>
    <mergeCell ref="L56:L57"/>
    <mergeCell ref="M56:M57"/>
    <mergeCell ref="L58:L59"/>
    <mergeCell ref="M58:M59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15522-C470-413D-B51F-D9EA713DB163}">
  <dimension ref="A1:Q104"/>
  <sheetViews>
    <sheetView topLeftCell="A17" zoomScale="55" zoomScaleNormal="55" workbookViewId="0">
      <selection activeCell="J26" sqref="J26:J65"/>
    </sheetView>
  </sheetViews>
  <sheetFormatPr baseColWidth="10" defaultRowHeight="14.5" x14ac:dyDescent="0.35"/>
  <cols>
    <col min="2" max="2" width="20.54296875" bestFit="1" customWidth="1"/>
    <col min="3" max="3" width="20.54296875" customWidth="1"/>
    <col min="4" max="4" width="20.1796875" customWidth="1"/>
    <col min="6" max="6" width="11.453125" bestFit="1" customWidth="1"/>
    <col min="7" max="7" width="15.7265625" customWidth="1"/>
    <col min="8" max="8" width="20.54296875" bestFit="1" customWidth="1"/>
    <col min="9" max="9" width="20.54296875" customWidth="1"/>
    <col min="10" max="10" width="12.36328125" customWidth="1"/>
    <col min="12" max="12" width="11.453125" bestFit="1" customWidth="1"/>
    <col min="13" max="13" width="12.54296875" customWidth="1"/>
  </cols>
  <sheetData>
    <row r="1" spans="1:14" x14ac:dyDescent="0.35">
      <c r="F1" t="s">
        <v>120</v>
      </c>
    </row>
    <row r="2" spans="1:14" x14ac:dyDescent="0.35">
      <c r="A2" t="s">
        <v>31</v>
      </c>
      <c r="B2" t="s">
        <v>101</v>
      </c>
      <c r="C2" t="s">
        <v>121</v>
      </c>
      <c r="F2" t="s">
        <v>31</v>
      </c>
      <c r="G2" t="s">
        <v>101</v>
      </c>
      <c r="H2" t="s">
        <v>121</v>
      </c>
      <c r="M2" t="s">
        <v>115</v>
      </c>
      <c r="N2" t="s">
        <v>117</v>
      </c>
    </row>
    <row r="3" spans="1:14" x14ac:dyDescent="0.35">
      <c r="A3" t="s">
        <v>103</v>
      </c>
      <c r="B3">
        <v>0.28499999999999998</v>
      </c>
      <c r="C3">
        <v>0</v>
      </c>
      <c r="F3" t="s">
        <v>103</v>
      </c>
      <c r="G3">
        <v>0.28000000000000003</v>
      </c>
      <c r="H3">
        <v>0</v>
      </c>
      <c r="M3" t="s">
        <v>116</v>
      </c>
    </row>
    <row r="4" spans="1:14" x14ac:dyDescent="0.35">
      <c r="A4" t="s">
        <v>103</v>
      </c>
      <c r="B4">
        <v>0.28499999999999998</v>
      </c>
      <c r="C4">
        <v>0</v>
      </c>
      <c r="F4" t="s">
        <v>103</v>
      </c>
      <c r="G4">
        <v>0.27300000000000002</v>
      </c>
      <c r="H4">
        <v>0</v>
      </c>
    </row>
    <row r="5" spans="1:14" x14ac:dyDescent="0.35">
      <c r="A5" t="s">
        <v>102</v>
      </c>
      <c r="B5" s="52">
        <v>0.318</v>
      </c>
      <c r="C5" s="52">
        <v>3.125E-2</v>
      </c>
      <c r="F5" t="s">
        <v>102</v>
      </c>
      <c r="G5">
        <v>0.28499999999999998</v>
      </c>
      <c r="H5">
        <v>0</v>
      </c>
      <c r="M5" t="s">
        <v>118</v>
      </c>
      <c r="N5" t="s">
        <v>119</v>
      </c>
    </row>
    <row r="6" spans="1:14" x14ac:dyDescent="0.35">
      <c r="A6" t="s">
        <v>102</v>
      </c>
      <c r="B6" s="52">
        <v>0.34</v>
      </c>
      <c r="C6" s="52">
        <v>3.125E-2</v>
      </c>
      <c r="F6" t="s">
        <v>102</v>
      </c>
      <c r="G6">
        <v>0.28499999999999998</v>
      </c>
      <c r="H6">
        <v>0</v>
      </c>
    </row>
    <row r="7" spans="1:14" x14ac:dyDescent="0.35">
      <c r="A7" t="s">
        <v>102</v>
      </c>
      <c r="B7">
        <v>0.36299999999999999</v>
      </c>
      <c r="C7">
        <v>6.25E-2</v>
      </c>
      <c r="F7" t="s">
        <v>102</v>
      </c>
      <c r="G7">
        <v>0.36299999999999999</v>
      </c>
      <c r="H7">
        <v>6.25E-2</v>
      </c>
    </row>
    <row r="8" spans="1:14" x14ac:dyDescent="0.35">
      <c r="A8" t="s">
        <v>102</v>
      </c>
      <c r="B8">
        <v>0.35499999999999998</v>
      </c>
      <c r="C8">
        <v>6.25E-2</v>
      </c>
      <c r="F8" t="s">
        <v>102</v>
      </c>
      <c r="G8">
        <v>0.35499999999999998</v>
      </c>
      <c r="H8">
        <v>6.25E-2</v>
      </c>
    </row>
    <row r="9" spans="1:14" x14ac:dyDescent="0.35">
      <c r="A9" t="s">
        <v>102</v>
      </c>
      <c r="B9">
        <v>0.433</v>
      </c>
      <c r="C9">
        <v>0.125</v>
      </c>
      <c r="F9" t="s">
        <v>102</v>
      </c>
      <c r="G9">
        <v>0.433</v>
      </c>
      <c r="H9">
        <v>0.125</v>
      </c>
    </row>
    <row r="10" spans="1:14" x14ac:dyDescent="0.35">
      <c r="A10" t="s">
        <v>102</v>
      </c>
      <c r="B10" s="52">
        <v>0.51100000000000001</v>
      </c>
      <c r="C10" s="52">
        <v>0.125</v>
      </c>
      <c r="F10" t="s">
        <v>102</v>
      </c>
      <c r="G10">
        <v>0.56000000000000005</v>
      </c>
      <c r="H10">
        <v>0.25</v>
      </c>
    </row>
    <row r="11" spans="1:14" x14ac:dyDescent="0.35">
      <c r="A11" t="s">
        <v>102</v>
      </c>
      <c r="B11">
        <v>0.56000000000000005</v>
      </c>
      <c r="C11">
        <v>0.25</v>
      </c>
      <c r="F11" t="s">
        <v>102</v>
      </c>
      <c r="G11">
        <v>0.50700000000000001</v>
      </c>
      <c r="H11">
        <v>0.25</v>
      </c>
    </row>
    <row r="12" spans="1:14" x14ac:dyDescent="0.35">
      <c r="A12" t="s">
        <v>102</v>
      </c>
      <c r="B12">
        <v>0.50700000000000001</v>
      </c>
      <c r="C12">
        <v>0.25</v>
      </c>
      <c r="F12" t="s">
        <v>102</v>
      </c>
      <c r="G12">
        <v>0.79400000000000004</v>
      </c>
      <c r="H12">
        <v>0.5</v>
      </c>
    </row>
    <row r="13" spans="1:14" x14ac:dyDescent="0.35">
      <c r="A13" t="s">
        <v>102</v>
      </c>
      <c r="B13">
        <v>0.79400000000000004</v>
      </c>
      <c r="C13">
        <v>0.5</v>
      </c>
      <c r="F13" t="s">
        <v>102</v>
      </c>
      <c r="G13">
        <v>0.72699999999999998</v>
      </c>
      <c r="H13">
        <v>0.5</v>
      </c>
    </row>
    <row r="14" spans="1:14" x14ac:dyDescent="0.35">
      <c r="A14" t="s">
        <v>102</v>
      </c>
      <c r="B14">
        <v>0.72699999999999998</v>
      </c>
      <c r="C14">
        <v>0.5</v>
      </c>
      <c r="F14" t="s">
        <v>102</v>
      </c>
      <c r="G14">
        <v>1.1990000000000001</v>
      </c>
      <c r="H14">
        <v>1</v>
      </c>
    </row>
    <row r="15" spans="1:14" x14ac:dyDescent="0.35">
      <c r="A15" t="s">
        <v>102</v>
      </c>
      <c r="B15" s="52">
        <v>1.052</v>
      </c>
      <c r="C15" s="52">
        <v>1</v>
      </c>
    </row>
    <row r="16" spans="1:14" x14ac:dyDescent="0.35">
      <c r="A16" t="s">
        <v>102</v>
      </c>
      <c r="B16">
        <v>1.1990000000000001</v>
      </c>
      <c r="C16">
        <v>1</v>
      </c>
    </row>
    <row r="21" spans="1:17" x14ac:dyDescent="0.35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</row>
    <row r="22" spans="1:17" x14ac:dyDescent="0.35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</row>
    <row r="23" spans="1:17" x14ac:dyDescent="0.35">
      <c r="O23" s="53"/>
      <c r="P23" s="53"/>
      <c r="Q23" s="53"/>
    </row>
    <row r="24" spans="1:17" x14ac:dyDescent="0.35">
      <c r="A24" s="8"/>
      <c r="B24" s="25" t="s">
        <v>72</v>
      </c>
      <c r="C24" s="25"/>
      <c r="D24" s="25"/>
      <c r="E24" s="25"/>
      <c r="F24" s="25"/>
      <c r="G24" s="25"/>
      <c r="H24" s="26" t="s">
        <v>71</v>
      </c>
      <c r="I24" s="26"/>
      <c r="J24" s="26"/>
      <c r="K24" s="26"/>
      <c r="L24" s="26"/>
      <c r="M24" s="26"/>
      <c r="O24" s="53"/>
      <c r="P24" s="54"/>
      <c r="Q24" s="54"/>
    </row>
    <row r="25" spans="1:17" x14ac:dyDescent="0.35">
      <c r="A25" s="8" t="s">
        <v>0</v>
      </c>
      <c r="B25" t="s">
        <v>121</v>
      </c>
      <c r="C25" t="s">
        <v>122</v>
      </c>
      <c r="D25" s="8" t="s">
        <v>74</v>
      </c>
      <c r="E25" s="8" t="s">
        <v>78</v>
      </c>
      <c r="F25" s="8" t="s">
        <v>105</v>
      </c>
      <c r="G25" s="8" t="s">
        <v>78</v>
      </c>
      <c r="H25" t="s">
        <v>121</v>
      </c>
      <c r="I25" t="s">
        <v>122</v>
      </c>
      <c r="J25" s="8" t="s">
        <v>74</v>
      </c>
      <c r="K25" s="8" t="s">
        <v>78</v>
      </c>
      <c r="L25" s="8" t="s">
        <v>105</v>
      </c>
      <c r="M25" s="8" t="s">
        <v>78</v>
      </c>
      <c r="O25" s="53"/>
      <c r="P25" s="53"/>
      <c r="Q25" s="53"/>
    </row>
    <row r="26" spans="1:17" x14ac:dyDescent="0.35">
      <c r="A26" s="8">
        <v>1</v>
      </c>
      <c r="B26">
        <v>0.1487</v>
      </c>
      <c r="C26">
        <f>B26*30</f>
        <v>4.4610000000000003</v>
      </c>
      <c r="D26" s="38">
        <f>AVERAGE(C26:C27)</f>
        <v>4.3395000000000001</v>
      </c>
      <c r="E26" s="39">
        <f>(_xlfn.STDEV.S(C26:C27)/SQRT(2))/D26</f>
        <v>2.7998617352229555E-2</v>
      </c>
      <c r="F26" s="38">
        <f>AVERAGE(D26:D35)</f>
        <v>4.9530000000000003</v>
      </c>
      <c r="G26" s="39">
        <f>(_xlfn.STDEV.S(D26:D35)/SQRT(5))/F26</f>
        <v>8.1166208563620473E-2</v>
      </c>
      <c r="H26" s="8">
        <v>0.2898</v>
      </c>
      <c r="I26">
        <f>H26*30</f>
        <v>8.6940000000000008</v>
      </c>
      <c r="J26" s="38">
        <f>AVERAGE(I26:I27)</f>
        <v>8.6940000000000008</v>
      </c>
      <c r="K26" s="39">
        <f>(_xlfn.STDEV.S(I26:I27)/SQRT(2))/J26</f>
        <v>0</v>
      </c>
      <c r="L26" s="38">
        <f>AVERAGE(J26:J35)</f>
        <v>8.0751000000000008</v>
      </c>
      <c r="M26" s="39">
        <f>(_xlfn.STDEV.S(J26:J35)/SQRT(5))/L26</f>
        <v>2.5764902431043429E-2</v>
      </c>
    </row>
    <row r="27" spans="1:17" x14ac:dyDescent="0.35">
      <c r="A27" s="8">
        <v>1</v>
      </c>
      <c r="B27">
        <v>0.1406</v>
      </c>
      <c r="C27">
        <f t="shared" ref="C27:C65" si="0">B27*30</f>
        <v>4.218</v>
      </c>
      <c r="D27" s="38"/>
      <c r="E27" s="39"/>
      <c r="F27" s="38"/>
      <c r="G27" s="39"/>
      <c r="H27" s="8">
        <v>0.2898</v>
      </c>
      <c r="I27">
        <f t="shared" ref="I27:I65" si="1">H27*30</f>
        <v>8.6940000000000008</v>
      </c>
      <c r="J27" s="38"/>
      <c r="K27" s="39"/>
      <c r="L27" s="38"/>
      <c r="M27" s="39"/>
    </row>
    <row r="28" spans="1:17" x14ac:dyDescent="0.35">
      <c r="A28" s="8">
        <v>2</v>
      </c>
      <c r="B28">
        <v>0.15459999999999999</v>
      </c>
      <c r="C28">
        <f t="shared" si="0"/>
        <v>4.6379999999999999</v>
      </c>
      <c r="D28" s="38">
        <f t="shared" ref="D28" si="2">AVERAGE(C28:C29)</f>
        <v>4.6935000000000002</v>
      </c>
      <c r="E28" s="39">
        <f t="shared" ref="E28" si="3">(_xlfn.STDEV.S(C28:C29)/SQRT(2))/D28</f>
        <v>1.1824864173857435E-2</v>
      </c>
      <c r="F28" s="38"/>
      <c r="G28" s="39"/>
      <c r="H28" s="8">
        <v>0.27350000000000002</v>
      </c>
      <c r="I28">
        <f t="shared" si="1"/>
        <v>8.2050000000000001</v>
      </c>
      <c r="J28" s="38">
        <f t="shared" ref="J28" si="4">AVERAGE(I28:I29)</f>
        <v>8.4495000000000005</v>
      </c>
      <c r="K28" s="39">
        <f t="shared" ref="K28" si="5">(_xlfn.STDEV.S(I28:I29)/SQRT(2))/J28</f>
        <v>2.893662346884435E-2</v>
      </c>
      <c r="L28" s="38"/>
      <c r="M28" s="39"/>
    </row>
    <row r="29" spans="1:17" x14ac:dyDescent="0.35">
      <c r="A29" s="8">
        <v>2</v>
      </c>
      <c r="B29">
        <v>0.1583</v>
      </c>
      <c r="C29">
        <f t="shared" si="0"/>
        <v>4.7489999999999997</v>
      </c>
      <c r="D29" s="38"/>
      <c r="E29" s="39"/>
      <c r="F29" s="38"/>
      <c r="G29" s="39"/>
      <c r="H29" s="8">
        <v>0.2898</v>
      </c>
      <c r="I29">
        <f t="shared" si="1"/>
        <v>8.6940000000000008</v>
      </c>
      <c r="J29" s="38"/>
      <c r="K29" s="39"/>
      <c r="L29" s="38"/>
      <c r="M29" s="39"/>
    </row>
    <row r="30" spans="1:17" x14ac:dyDescent="0.35">
      <c r="A30" s="8">
        <v>3</v>
      </c>
      <c r="B30">
        <v>0.16569999999999999</v>
      </c>
      <c r="C30">
        <f t="shared" si="0"/>
        <v>4.9709999999999992</v>
      </c>
      <c r="D30" s="38">
        <f t="shared" ref="D30" si="6">AVERAGE(C30:C31)</f>
        <v>5.0489999999999995</v>
      </c>
      <c r="E30" s="39">
        <f t="shared" ref="E30" si="7">(_xlfn.STDEV.S(C30:C31)/SQRT(2))/D30</f>
        <v>1.544860368389786E-2</v>
      </c>
      <c r="F30" s="38"/>
      <c r="G30" s="39"/>
      <c r="H30" s="8">
        <v>0.2359</v>
      </c>
      <c r="I30">
        <f t="shared" si="1"/>
        <v>7.077</v>
      </c>
      <c r="J30" s="38">
        <f t="shared" ref="J30" si="8">AVERAGE(I30:I31)</f>
        <v>7.6635</v>
      </c>
      <c r="K30" s="39">
        <f t="shared" ref="K30" si="9">(_xlfn.STDEV.S(I30:I31)/SQRT(2))/J30</f>
        <v>7.6531610882755924E-2</v>
      </c>
      <c r="L30" s="38"/>
      <c r="M30" s="39"/>
    </row>
    <row r="31" spans="1:17" x14ac:dyDescent="0.35">
      <c r="A31" s="8">
        <v>3</v>
      </c>
      <c r="B31">
        <v>0.1709</v>
      </c>
      <c r="C31">
        <f t="shared" si="0"/>
        <v>5.1269999999999998</v>
      </c>
      <c r="D31" s="38"/>
      <c r="E31" s="39"/>
      <c r="F31" s="38"/>
      <c r="G31" s="39"/>
      <c r="H31" s="8">
        <v>0.27500000000000002</v>
      </c>
      <c r="I31">
        <f t="shared" si="1"/>
        <v>8.25</v>
      </c>
      <c r="J31" s="38"/>
      <c r="K31" s="39"/>
      <c r="L31" s="38"/>
      <c r="M31" s="39"/>
    </row>
    <row r="32" spans="1:17" x14ac:dyDescent="0.35">
      <c r="A32" s="8">
        <v>4</v>
      </c>
      <c r="B32">
        <v>0.13689999999999999</v>
      </c>
      <c r="C32">
        <f t="shared" si="0"/>
        <v>4.1070000000000002</v>
      </c>
      <c r="D32" s="38">
        <f t="shared" ref="D32" si="10">AVERAGE(C32:C33)</f>
        <v>4.2285000000000004</v>
      </c>
      <c r="E32" s="39">
        <f t="shared" ref="E32" si="11">(_xlfn.STDEV.S(C32:C33)/SQRT(2))/D32</f>
        <v>2.873359347286265E-2</v>
      </c>
      <c r="F32" s="38"/>
      <c r="G32" s="39"/>
      <c r="H32" s="8">
        <v>0.26540000000000002</v>
      </c>
      <c r="I32">
        <f t="shared" si="1"/>
        <v>7.9620000000000006</v>
      </c>
      <c r="J32" s="38">
        <f t="shared" ref="J32" si="12">AVERAGE(I32:I33)</f>
        <v>7.8285</v>
      </c>
      <c r="K32" s="39">
        <f t="shared" ref="K32" si="13">(_xlfn.STDEV.S(I32:I33)/SQRT(2))/J32</f>
        <v>1.7053075301781972E-2</v>
      </c>
      <c r="L32" s="38"/>
      <c r="M32" s="39"/>
    </row>
    <row r="33" spans="1:13" x14ac:dyDescent="0.35">
      <c r="A33" s="8">
        <v>4</v>
      </c>
      <c r="B33">
        <v>0.14499999999999999</v>
      </c>
      <c r="C33">
        <f t="shared" si="0"/>
        <v>4.3499999999999996</v>
      </c>
      <c r="D33" s="38"/>
      <c r="E33" s="39"/>
      <c r="F33" s="38"/>
      <c r="G33" s="39"/>
      <c r="H33" s="8">
        <v>0.25650000000000001</v>
      </c>
      <c r="I33">
        <f t="shared" si="1"/>
        <v>7.6950000000000003</v>
      </c>
      <c r="J33" s="38"/>
      <c r="K33" s="39"/>
      <c r="L33" s="38"/>
      <c r="M33" s="39"/>
    </row>
    <row r="34" spans="1:13" x14ac:dyDescent="0.35">
      <c r="A34" s="8">
        <v>5</v>
      </c>
      <c r="B34">
        <v>0.2122</v>
      </c>
      <c r="C34">
        <f t="shared" si="0"/>
        <v>6.3659999999999997</v>
      </c>
      <c r="D34" s="38">
        <f t="shared" ref="D34" si="14">AVERAGE(C34:C35)</f>
        <v>6.4544999999999995</v>
      </c>
      <c r="E34" s="39">
        <f t="shared" ref="E34" si="15">(_xlfn.STDEV.S(C34:C35)/SQRT(2))/D34</f>
        <v>1.371136416453634E-2</v>
      </c>
      <c r="F34" s="38"/>
      <c r="G34" s="39"/>
      <c r="H34" s="8">
        <v>0.25209999999999999</v>
      </c>
      <c r="I34">
        <f t="shared" si="1"/>
        <v>7.5629999999999997</v>
      </c>
      <c r="J34" s="38">
        <f t="shared" ref="J34" si="16">AVERAGE(I34:I35)</f>
        <v>7.74</v>
      </c>
      <c r="K34" s="39">
        <f t="shared" ref="K34" si="17">(_xlfn.STDEV.S(I34:I35)/SQRT(2))/J34</f>
        <v>2.2868217054263628E-2</v>
      </c>
      <c r="L34" s="38"/>
      <c r="M34" s="39"/>
    </row>
    <row r="35" spans="1:13" x14ac:dyDescent="0.35">
      <c r="A35" s="8">
        <v>5</v>
      </c>
      <c r="B35">
        <v>0.21809999999999999</v>
      </c>
      <c r="C35">
        <f t="shared" si="0"/>
        <v>6.5429999999999993</v>
      </c>
      <c r="D35" s="38"/>
      <c r="E35" s="39"/>
      <c r="F35" s="38"/>
      <c r="G35" s="39"/>
      <c r="H35" s="8">
        <v>0.26390000000000002</v>
      </c>
      <c r="I35">
        <f t="shared" si="1"/>
        <v>7.9170000000000007</v>
      </c>
      <c r="J35" s="38"/>
      <c r="K35" s="39"/>
      <c r="L35" s="38"/>
      <c r="M35" s="39"/>
    </row>
    <row r="36" spans="1:13" x14ac:dyDescent="0.35">
      <c r="A36" s="8">
        <v>6</v>
      </c>
      <c r="B36">
        <v>0.18340000000000001</v>
      </c>
      <c r="C36">
        <f t="shared" si="0"/>
        <v>5.5020000000000007</v>
      </c>
      <c r="D36" s="38">
        <f t="shared" ref="D36" si="18">AVERAGE(C36:C37)</f>
        <v>5.7900000000000009</v>
      </c>
      <c r="E36" s="39">
        <f t="shared" ref="E36" si="19">(_xlfn.STDEV.S(C36:C37)/SQRT(2))/D36</f>
        <v>4.974093264248701E-2</v>
      </c>
      <c r="F36" s="38">
        <f t="shared" ref="F36" si="20">AVERAGE(D36:D45)</f>
        <v>4.9530000000000003</v>
      </c>
      <c r="G36" s="39">
        <f t="shared" ref="G36" si="21">(_xlfn.STDEV.S(D36:D45)/SQRT(5))/F36</f>
        <v>0.11837229620653689</v>
      </c>
      <c r="H36" s="8">
        <v>0.27279999999999999</v>
      </c>
      <c r="I36">
        <f t="shared" si="1"/>
        <v>8.1839999999999993</v>
      </c>
      <c r="J36" s="38">
        <f t="shared" ref="J36" si="22">AVERAGE(I36:I37)</f>
        <v>8.5934999999999988</v>
      </c>
      <c r="K36" s="39">
        <f t="shared" ref="K36" si="23">(_xlfn.STDEV.S(I36:I37)/SQRT(2))/J36</f>
        <v>4.7652295339500834E-2</v>
      </c>
      <c r="L36" s="38">
        <f t="shared" ref="L36" si="24">AVERAGE(J36:J45)</f>
        <v>7.4333999999999989</v>
      </c>
      <c r="M36" s="39">
        <f t="shared" ref="M36" si="25">(_xlfn.STDEV.S(J36:J45)/SQRT(5))/L36</f>
        <v>5.2108384420561572E-2</v>
      </c>
    </row>
    <row r="37" spans="1:13" x14ac:dyDescent="0.35">
      <c r="A37" s="8">
        <v>6</v>
      </c>
      <c r="B37">
        <v>0.2026</v>
      </c>
      <c r="C37">
        <f t="shared" si="0"/>
        <v>6.0780000000000003</v>
      </c>
      <c r="D37" s="38"/>
      <c r="E37" s="39"/>
      <c r="F37" s="38"/>
      <c r="G37" s="39"/>
      <c r="H37" s="8">
        <v>0.30009999999999998</v>
      </c>
      <c r="I37">
        <f t="shared" si="1"/>
        <v>9.0030000000000001</v>
      </c>
      <c r="J37" s="38"/>
      <c r="K37" s="39"/>
      <c r="L37" s="38"/>
      <c r="M37" s="39"/>
    </row>
    <row r="38" spans="1:13" x14ac:dyDescent="0.35">
      <c r="A38" s="8">
        <v>7</v>
      </c>
      <c r="B38">
        <v>0.15240000000000001</v>
      </c>
      <c r="C38">
        <f t="shared" si="0"/>
        <v>4.5720000000000001</v>
      </c>
      <c r="D38" s="38">
        <f t="shared" ref="D38" si="26">AVERAGE(C38:C39)</f>
        <v>4.5284999999999993</v>
      </c>
      <c r="E38" s="39">
        <f t="shared" ref="E38" si="27">(_xlfn.STDEV.S(C38:C39)/SQRT(2))/D38</f>
        <v>9.6058297449487292E-3</v>
      </c>
      <c r="F38" s="38"/>
      <c r="G38" s="39"/>
      <c r="H38" s="8">
        <v>0.27279999999999999</v>
      </c>
      <c r="I38">
        <f t="shared" si="1"/>
        <v>8.1839999999999993</v>
      </c>
      <c r="J38" s="38">
        <f t="shared" ref="J38" si="28">AVERAGE(I38:I39)</f>
        <v>7.4744999999999999</v>
      </c>
      <c r="K38" s="39">
        <f t="shared" ref="K38" si="29">(_xlfn.STDEV.S(I38:I39)/SQRT(2))/J38</f>
        <v>9.4922737306843169E-2</v>
      </c>
      <c r="L38" s="38"/>
      <c r="M38" s="39"/>
    </row>
    <row r="39" spans="1:13" x14ac:dyDescent="0.35">
      <c r="A39" s="8">
        <v>7</v>
      </c>
      <c r="B39">
        <v>0.14949999999999999</v>
      </c>
      <c r="C39">
        <f t="shared" si="0"/>
        <v>4.4849999999999994</v>
      </c>
      <c r="D39" s="38"/>
      <c r="E39" s="39"/>
      <c r="F39" s="38"/>
      <c r="G39" s="39"/>
      <c r="H39" s="8">
        <v>0.22550000000000001</v>
      </c>
      <c r="I39">
        <f t="shared" si="1"/>
        <v>6.7650000000000006</v>
      </c>
      <c r="J39" s="38"/>
      <c r="K39" s="39"/>
      <c r="L39" s="38"/>
      <c r="M39" s="39"/>
    </row>
    <row r="40" spans="1:13" x14ac:dyDescent="0.35">
      <c r="A40" s="8">
        <v>8</v>
      </c>
      <c r="B40">
        <v>8.8900000000000007E-2</v>
      </c>
      <c r="C40">
        <f t="shared" si="0"/>
        <v>2.6670000000000003</v>
      </c>
      <c r="D40" s="38">
        <f t="shared" ref="D40" si="30">AVERAGE(C40:C41)</f>
        <v>3.1095000000000002</v>
      </c>
      <c r="E40" s="39">
        <f t="shared" ref="E40" si="31">(_xlfn.STDEV.S(C40:C41)/SQRT(2))/D40</f>
        <v>0.14230583695127849</v>
      </c>
      <c r="F40" s="38"/>
      <c r="G40" s="39"/>
      <c r="H40" s="56">
        <v>0.15240000000000001</v>
      </c>
      <c r="I40">
        <f t="shared" si="1"/>
        <v>4.5720000000000001</v>
      </c>
      <c r="J40" s="38">
        <f>AVERAGE(I41:I41)</f>
        <v>6.5880000000000001</v>
      </c>
      <c r="K40" s="42" t="e">
        <f>(_xlfn.STDEV.S(I41:I41)/SQRT(2))/J40</f>
        <v>#DIV/0!</v>
      </c>
      <c r="L40" s="38"/>
      <c r="M40" s="39"/>
    </row>
    <row r="41" spans="1:13" x14ac:dyDescent="0.35">
      <c r="A41" s="8">
        <v>8</v>
      </c>
      <c r="B41">
        <v>0.11840000000000001</v>
      </c>
      <c r="C41">
        <f t="shared" si="0"/>
        <v>3.552</v>
      </c>
      <c r="D41" s="38"/>
      <c r="E41" s="39"/>
      <c r="F41" s="38"/>
      <c r="G41" s="39"/>
      <c r="H41" s="8">
        <v>0.21959999999999999</v>
      </c>
      <c r="I41">
        <f t="shared" si="1"/>
        <v>6.5880000000000001</v>
      </c>
      <c r="J41" s="38"/>
      <c r="K41" s="42"/>
      <c r="L41" s="38"/>
      <c r="M41" s="39"/>
    </row>
    <row r="42" spans="1:13" x14ac:dyDescent="0.35">
      <c r="A42" s="8">
        <v>9</v>
      </c>
      <c r="B42">
        <v>0.14280000000000001</v>
      </c>
      <c r="C42">
        <f t="shared" si="0"/>
        <v>4.2840000000000007</v>
      </c>
      <c r="D42" s="38">
        <f t="shared" ref="D42" si="32">AVERAGE(C42:C43)</f>
        <v>4.782</v>
      </c>
      <c r="E42" s="39">
        <f t="shared" ref="E42" si="33">(_xlfn.STDEV.S(C42:C43)/SQRT(2))/D42</f>
        <v>0.10414052697616019</v>
      </c>
      <c r="F42" s="38"/>
      <c r="G42" s="39"/>
      <c r="H42" s="8">
        <v>0.30969999999999998</v>
      </c>
      <c r="I42">
        <f t="shared" si="1"/>
        <v>9.2909999999999986</v>
      </c>
      <c r="J42" s="38">
        <f t="shared" ref="J42" si="34">AVERAGE(I42:I43)</f>
        <v>7.9169999999999989</v>
      </c>
      <c r="K42" s="42">
        <f t="shared" ref="K42" si="35">(_xlfn.STDEV.S(I42:I43)/SQRT(2))/J42</f>
        <v>0.17355058734369042</v>
      </c>
      <c r="L42" s="38"/>
      <c r="M42" s="39"/>
    </row>
    <row r="43" spans="1:13" x14ac:dyDescent="0.35">
      <c r="A43" s="8">
        <v>9</v>
      </c>
      <c r="B43">
        <v>0.17599999999999999</v>
      </c>
      <c r="C43">
        <f t="shared" si="0"/>
        <v>5.2799999999999994</v>
      </c>
      <c r="D43" s="38"/>
      <c r="E43" s="39"/>
      <c r="F43" s="38"/>
      <c r="G43" s="39"/>
      <c r="H43" s="8">
        <v>0.21809999999999999</v>
      </c>
      <c r="I43">
        <f t="shared" si="1"/>
        <v>6.5429999999999993</v>
      </c>
      <c r="J43" s="38"/>
      <c r="K43" s="42"/>
      <c r="L43" s="38"/>
      <c r="M43" s="39"/>
    </row>
    <row r="44" spans="1:13" x14ac:dyDescent="0.35">
      <c r="A44" s="8">
        <v>10</v>
      </c>
      <c r="B44">
        <v>0.2152</v>
      </c>
      <c r="C44">
        <f t="shared" si="0"/>
        <v>6.4560000000000004</v>
      </c>
      <c r="D44" s="38">
        <f t="shared" ref="D44" si="36">AVERAGE(C44:C45)</f>
        <v>6.5549999999999997</v>
      </c>
      <c r="E44" s="39">
        <f t="shared" ref="E44" si="37">(_xlfn.STDEV.S(C44:C45)/SQRT(2))/D44</f>
        <v>1.5102974828375249E-2</v>
      </c>
      <c r="F44" s="38"/>
      <c r="G44" s="39"/>
      <c r="H44" s="8">
        <v>0.21190000000000001</v>
      </c>
      <c r="I44">
        <f t="shared" si="1"/>
        <v>6.3570000000000002</v>
      </c>
      <c r="J44" s="38">
        <f t="shared" ref="J44" si="38">AVERAGE(I44:I45)</f>
        <v>6.5940000000000003</v>
      </c>
      <c r="K44" s="39">
        <f t="shared" ref="K44" si="39">(_xlfn.STDEV.S(I44:I45)/SQRT(2))/J44</f>
        <v>3.5941765241128312E-2</v>
      </c>
      <c r="L44" s="38"/>
      <c r="M44" s="39"/>
    </row>
    <row r="45" spans="1:13" x14ac:dyDescent="0.35">
      <c r="A45" s="8">
        <v>10</v>
      </c>
      <c r="B45">
        <v>0.2218</v>
      </c>
      <c r="C45">
        <f t="shared" si="0"/>
        <v>6.6539999999999999</v>
      </c>
      <c r="D45" s="38"/>
      <c r="E45" s="39"/>
      <c r="F45" s="38"/>
      <c r="G45" s="39"/>
      <c r="H45" s="8">
        <v>0.22770000000000001</v>
      </c>
      <c r="I45">
        <f t="shared" si="1"/>
        <v>6.8310000000000004</v>
      </c>
      <c r="J45" s="38"/>
      <c r="K45" s="39"/>
      <c r="L45" s="38"/>
      <c r="M45" s="39"/>
    </row>
    <row r="46" spans="1:13" x14ac:dyDescent="0.35">
      <c r="A46" s="8">
        <v>11</v>
      </c>
      <c r="B46">
        <v>0.18049999999999999</v>
      </c>
      <c r="C46">
        <f t="shared" si="0"/>
        <v>5.415</v>
      </c>
      <c r="D46" s="38">
        <f t="shared" ref="D46" si="40">AVERAGE(C46:C47)</f>
        <v>5.5694999999999997</v>
      </c>
      <c r="E46" s="39">
        <f t="shared" ref="E46" si="41">(_xlfn.STDEV.S(C46:C47)/SQRT(2))/D46</f>
        <v>2.7740371667115557E-2</v>
      </c>
      <c r="F46" s="38">
        <f t="shared" ref="F46" si="42">AVERAGE(D46:D55)</f>
        <v>6.1100999999999992</v>
      </c>
      <c r="G46" s="39">
        <f t="shared" ref="G46" si="43">(_xlfn.STDEV.S(D46:D55)/SQRT(5))/F46</f>
        <v>5.1927572035410596E-2</v>
      </c>
      <c r="H46" s="8">
        <v>0.2913</v>
      </c>
      <c r="I46">
        <f t="shared" si="1"/>
        <v>8.7390000000000008</v>
      </c>
      <c r="J46" s="38">
        <f t="shared" ref="J46" si="44">AVERAGE(I46:I47)</f>
        <v>8.6610000000000014</v>
      </c>
      <c r="K46" s="39">
        <f t="shared" ref="K46" si="45">(_xlfn.STDEV.S(I46:I47)/SQRT(2))/J46</f>
        <v>9.0058884655351903E-3</v>
      </c>
      <c r="L46" s="38">
        <f t="shared" ref="L46" si="46">AVERAGE(J46:J55)</f>
        <v>8.164200000000001</v>
      </c>
      <c r="M46" s="39">
        <f t="shared" ref="M46" si="47">(_xlfn.STDEV.S(J46:J55)/SQRT(5))/L46</f>
        <v>2.5049973628421492E-2</v>
      </c>
    </row>
    <row r="47" spans="1:13" x14ac:dyDescent="0.35">
      <c r="A47" s="8">
        <v>11</v>
      </c>
      <c r="B47">
        <v>0.1908</v>
      </c>
      <c r="C47">
        <f t="shared" si="0"/>
        <v>5.7240000000000002</v>
      </c>
      <c r="D47" s="38"/>
      <c r="E47" s="39"/>
      <c r="F47" s="38"/>
      <c r="G47" s="39"/>
      <c r="H47" s="8">
        <v>0.28610000000000002</v>
      </c>
      <c r="I47">
        <f t="shared" si="1"/>
        <v>8.5830000000000002</v>
      </c>
      <c r="J47" s="38"/>
      <c r="K47" s="39"/>
      <c r="L47" s="38"/>
      <c r="M47" s="39"/>
    </row>
    <row r="48" spans="1:13" x14ac:dyDescent="0.35">
      <c r="A48" s="8">
        <v>12</v>
      </c>
      <c r="B48">
        <v>0.17680000000000001</v>
      </c>
      <c r="C48">
        <f t="shared" si="0"/>
        <v>5.3040000000000003</v>
      </c>
      <c r="D48" s="38">
        <f t="shared" ref="D48" si="48">AVERAGE(C48:C49)</f>
        <v>5.3819999999999997</v>
      </c>
      <c r="E48" s="39">
        <f t="shared" ref="E48" si="49">(_xlfn.STDEV.S(C48:C49)/SQRT(2))/D48</f>
        <v>1.4492753623188378E-2</v>
      </c>
      <c r="F48" s="38"/>
      <c r="G48" s="39"/>
      <c r="H48" s="8">
        <v>0.27939999999999998</v>
      </c>
      <c r="I48">
        <f t="shared" si="1"/>
        <v>8.3819999999999997</v>
      </c>
      <c r="J48" s="38">
        <f t="shared" ref="J48" si="50">AVERAGE(I48:I49)</f>
        <v>7.5735000000000001</v>
      </c>
      <c r="K48" s="39">
        <f t="shared" ref="K48" si="51">(_xlfn.STDEV.S(I48:I49)/SQRT(2))/J48</f>
        <v>0.10675381263616496</v>
      </c>
      <c r="L48" s="38"/>
      <c r="M48" s="39"/>
    </row>
    <row r="49" spans="1:13" x14ac:dyDescent="0.35">
      <c r="A49" s="8">
        <v>12</v>
      </c>
      <c r="B49">
        <v>0.182</v>
      </c>
      <c r="C49">
        <f t="shared" si="0"/>
        <v>5.46</v>
      </c>
      <c r="D49" s="38"/>
      <c r="E49" s="39"/>
      <c r="F49" s="38"/>
      <c r="G49" s="39"/>
      <c r="H49" s="8">
        <v>0.22550000000000001</v>
      </c>
      <c r="I49">
        <f t="shared" si="1"/>
        <v>6.7650000000000006</v>
      </c>
      <c r="J49" s="38"/>
      <c r="K49" s="39"/>
      <c r="L49" s="38"/>
      <c r="M49" s="39"/>
    </row>
    <row r="50" spans="1:13" x14ac:dyDescent="0.35">
      <c r="A50" s="8">
        <v>13</v>
      </c>
      <c r="B50">
        <v>0.20710000000000001</v>
      </c>
      <c r="C50">
        <f t="shared" si="0"/>
        <v>6.2130000000000001</v>
      </c>
      <c r="D50" s="38">
        <f t="shared" ref="D50" si="52">AVERAGE(C50:C51)</f>
        <v>6.7214999999999998</v>
      </c>
      <c r="E50" s="39">
        <f t="shared" ref="E50" si="53">(_xlfn.STDEV.S(C50:C51)/SQRT(2))/D50</f>
        <v>7.5652756081231828E-2</v>
      </c>
      <c r="F50" s="38"/>
      <c r="G50" s="39"/>
      <c r="H50" s="8">
        <v>0.28170000000000001</v>
      </c>
      <c r="I50">
        <f t="shared" si="1"/>
        <v>8.4510000000000005</v>
      </c>
      <c r="J50" s="38">
        <f t="shared" ref="J50" si="54">AVERAGE(I50:I51)</f>
        <v>7.8960000000000008</v>
      </c>
      <c r="K50" s="39">
        <f t="shared" ref="K50" si="55">(_xlfn.STDEV.S(I50:I51)/SQRT(2))/J50</f>
        <v>7.028875379939209E-2</v>
      </c>
      <c r="L50" s="38"/>
      <c r="M50" s="39"/>
    </row>
    <row r="51" spans="1:13" x14ac:dyDescent="0.35">
      <c r="A51" s="8">
        <v>13</v>
      </c>
      <c r="B51">
        <v>0.24099999999999999</v>
      </c>
      <c r="C51">
        <f t="shared" si="0"/>
        <v>7.2299999999999995</v>
      </c>
      <c r="D51" s="38"/>
      <c r="E51" s="39"/>
      <c r="F51" s="38"/>
      <c r="G51" s="39"/>
      <c r="H51" s="8">
        <v>0.2447</v>
      </c>
      <c r="I51">
        <f t="shared" si="1"/>
        <v>7.3410000000000002</v>
      </c>
      <c r="J51" s="38"/>
      <c r="K51" s="39"/>
      <c r="L51" s="38"/>
      <c r="M51" s="39"/>
    </row>
    <row r="52" spans="1:13" x14ac:dyDescent="0.35">
      <c r="A52" s="8">
        <v>14</v>
      </c>
      <c r="B52">
        <v>0.224</v>
      </c>
      <c r="C52">
        <f t="shared" si="0"/>
        <v>6.72</v>
      </c>
      <c r="D52" s="38">
        <f t="shared" ref="D52" si="56">AVERAGE(C52:C53)</f>
        <v>6.9870000000000001</v>
      </c>
      <c r="E52" s="39">
        <f t="shared" ref="E52" si="57">(_xlfn.STDEV.S(C52:C53)/SQRT(2))/D52</f>
        <v>3.8213825676255891E-2</v>
      </c>
      <c r="F52" s="38"/>
      <c r="G52" s="39"/>
      <c r="H52" s="8">
        <v>0.32600000000000001</v>
      </c>
      <c r="I52">
        <f t="shared" si="1"/>
        <v>9.7800000000000011</v>
      </c>
      <c r="J52" s="38">
        <f t="shared" ref="J52" si="58">AVERAGE(I52:I53)</f>
        <v>8.5725000000000016</v>
      </c>
      <c r="K52" s="39">
        <f t="shared" ref="K52" si="59">(_xlfn.STDEV.S(I52:I53)/SQRT(2))/J52</f>
        <v>0.14085739282589596</v>
      </c>
      <c r="L52" s="38"/>
      <c r="M52" s="39"/>
    </row>
    <row r="53" spans="1:13" x14ac:dyDescent="0.35">
      <c r="A53" s="8">
        <v>14</v>
      </c>
      <c r="B53">
        <v>0.24179999999999999</v>
      </c>
      <c r="C53">
        <f t="shared" si="0"/>
        <v>7.2539999999999996</v>
      </c>
      <c r="D53" s="38"/>
      <c r="E53" s="39"/>
      <c r="F53" s="38"/>
      <c r="G53" s="39"/>
      <c r="H53" s="8">
        <v>0.2455</v>
      </c>
      <c r="I53">
        <f t="shared" si="1"/>
        <v>7.3650000000000002</v>
      </c>
      <c r="J53" s="38"/>
      <c r="K53" s="39"/>
      <c r="L53" s="38"/>
      <c r="M53" s="39"/>
    </row>
    <row r="54" spans="1:13" x14ac:dyDescent="0.35">
      <c r="A54" s="8">
        <v>15</v>
      </c>
      <c r="B54">
        <v>0.19670000000000001</v>
      </c>
      <c r="C54">
        <f t="shared" si="0"/>
        <v>5.9010000000000007</v>
      </c>
      <c r="D54" s="38">
        <f t="shared" ref="D54" si="60">AVERAGE(C54:C55)</f>
        <v>5.8905000000000003</v>
      </c>
      <c r="E54" s="39">
        <f t="shared" ref="E54" si="61">(_xlfn.STDEV.S(C54:C55)/SQRT(2))/D54</f>
        <v>1.7825311942959677E-3</v>
      </c>
      <c r="F54" s="38"/>
      <c r="G54" s="39"/>
      <c r="H54" s="55">
        <v>0.23960000000000001</v>
      </c>
      <c r="I54">
        <f t="shared" si="1"/>
        <v>7.1880000000000006</v>
      </c>
      <c r="J54" s="38">
        <f t="shared" ref="J54" si="62">AVERAGE(I54:I55)</f>
        <v>8.1180000000000003</v>
      </c>
      <c r="K54" s="39">
        <f t="shared" ref="K54" si="63">(_xlfn.STDEV.S(I54:I55)/SQRT(2))/J54</f>
        <v>0.11456023651145547</v>
      </c>
      <c r="L54" s="38"/>
      <c r="M54" s="39"/>
    </row>
    <row r="55" spans="1:13" x14ac:dyDescent="0.35">
      <c r="A55" s="8">
        <v>15</v>
      </c>
      <c r="B55">
        <v>0.19600000000000001</v>
      </c>
      <c r="C55">
        <f t="shared" si="0"/>
        <v>5.88</v>
      </c>
      <c r="D55" s="38"/>
      <c r="E55" s="39"/>
      <c r="F55" s="38"/>
      <c r="G55" s="39"/>
      <c r="H55" s="8">
        <v>0.30159999999999998</v>
      </c>
      <c r="I55">
        <f t="shared" si="1"/>
        <v>9.048</v>
      </c>
      <c r="J55" s="38"/>
      <c r="K55" s="39"/>
      <c r="L55" s="38"/>
      <c r="M55" s="39"/>
    </row>
    <row r="56" spans="1:13" x14ac:dyDescent="0.35">
      <c r="A56" s="8">
        <v>16</v>
      </c>
      <c r="B56">
        <v>0.13619999999999999</v>
      </c>
      <c r="C56">
        <f t="shared" si="0"/>
        <v>4.0859999999999994</v>
      </c>
      <c r="D56" s="38">
        <f t="shared" ref="D56" si="64">AVERAGE(C56:C57)</f>
        <v>4.5179999999999998</v>
      </c>
      <c r="E56" s="39">
        <f t="shared" ref="E56" si="65">(_xlfn.STDEV.S(C56:C57)/SQRT(2))/D56</f>
        <v>9.5617529880478183E-2</v>
      </c>
      <c r="F56" s="38">
        <f t="shared" ref="F56" si="66">AVERAGE(D56:D65)</f>
        <v>6.6353999999999997</v>
      </c>
      <c r="G56" s="39">
        <f t="shared" ref="G56" si="67">(_xlfn.STDEV.S(D56:D65)/SQRT(5))/F56</f>
        <v>9.2197452707685326E-2</v>
      </c>
      <c r="H56" s="8">
        <v>0.24329999999999999</v>
      </c>
      <c r="I56">
        <f t="shared" si="1"/>
        <v>7.2989999999999995</v>
      </c>
      <c r="J56" s="38">
        <f t="shared" ref="J56" si="68">AVERAGE(I56:I57)</f>
        <v>6.9989999999999997</v>
      </c>
      <c r="K56" s="39">
        <f t="shared" ref="K56" si="69">(_xlfn.STDEV.S(I56:I57)/SQRT(2))/J56</f>
        <v>4.2863266180882958E-2</v>
      </c>
      <c r="L56" s="38">
        <f t="shared" ref="L56" si="70">AVERAGE(J56:J65)</f>
        <v>6.8651999999999997</v>
      </c>
      <c r="M56" s="39">
        <f t="shared" ref="M56" si="71">(_xlfn.STDEV.S(J56:J65)/SQRT(5))/L56</f>
        <v>6.0240516442104507E-2</v>
      </c>
    </row>
    <row r="57" spans="1:13" x14ac:dyDescent="0.35">
      <c r="A57" s="8">
        <v>16</v>
      </c>
      <c r="B57">
        <v>0.16500000000000001</v>
      </c>
      <c r="C57">
        <f t="shared" si="0"/>
        <v>4.95</v>
      </c>
      <c r="D57" s="38"/>
      <c r="E57" s="39"/>
      <c r="F57" s="38"/>
      <c r="G57" s="39"/>
      <c r="H57" s="8">
        <v>0.2233</v>
      </c>
      <c r="I57">
        <f t="shared" si="1"/>
        <v>6.6989999999999998</v>
      </c>
      <c r="J57" s="38"/>
      <c r="K57" s="39"/>
      <c r="L57" s="38"/>
      <c r="M57" s="39"/>
    </row>
    <row r="58" spans="1:13" x14ac:dyDescent="0.35">
      <c r="A58" s="8">
        <v>17</v>
      </c>
      <c r="B58">
        <v>0.18709999999999999</v>
      </c>
      <c r="C58">
        <f t="shared" si="0"/>
        <v>5.6129999999999995</v>
      </c>
      <c r="D58" s="38">
        <f t="shared" ref="D58" si="72">AVERAGE(C58:C59)</f>
        <v>6.7650000000000006</v>
      </c>
      <c r="E58" s="42">
        <f t="shared" ref="E58" si="73">(_xlfn.STDEV.S(C58:C59)/SQRT(2))/D58</f>
        <v>0.17028824833702869</v>
      </c>
      <c r="F58" s="38"/>
      <c r="G58" s="39"/>
      <c r="H58" s="8">
        <v>0.19889999999999999</v>
      </c>
      <c r="I58">
        <f t="shared" si="1"/>
        <v>5.9669999999999996</v>
      </c>
      <c r="J58" s="38">
        <f t="shared" ref="J58" si="74">AVERAGE(I58:I59)</f>
        <v>6.5324999999999998</v>
      </c>
      <c r="K58" s="42">
        <f t="shared" ref="K58" si="75">(_xlfn.STDEV.S(I58:I59)/SQRT(2))/J58</f>
        <v>8.6567164179104483E-2</v>
      </c>
      <c r="L58" s="38"/>
      <c r="M58" s="39"/>
    </row>
    <row r="59" spans="1:13" x14ac:dyDescent="0.35">
      <c r="A59" s="8">
        <v>17</v>
      </c>
      <c r="B59">
        <v>0.26390000000000002</v>
      </c>
      <c r="C59">
        <f t="shared" si="0"/>
        <v>7.9170000000000007</v>
      </c>
      <c r="D59" s="38"/>
      <c r="E59" s="42"/>
      <c r="F59" s="38"/>
      <c r="G59" s="39"/>
      <c r="H59" s="8">
        <v>0.2366</v>
      </c>
      <c r="I59">
        <f t="shared" si="1"/>
        <v>7.0979999999999999</v>
      </c>
      <c r="J59" s="38"/>
      <c r="K59" s="42"/>
      <c r="L59" s="38"/>
      <c r="M59" s="39"/>
    </row>
    <row r="60" spans="1:13" x14ac:dyDescent="0.35">
      <c r="A60" s="8">
        <v>18</v>
      </c>
      <c r="B60">
        <v>0.27650000000000002</v>
      </c>
      <c r="C60">
        <f t="shared" si="0"/>
        <v>8.2949999999999999</v>
      </c>
      <c r="D60" s="38">
        <f t="shared" ref="D60" si="76">AVERAGE(C60:C61)</f>
        <v>8.317499999999999</v>
      </c>
      <c r="E60" s="39">
        <f t="shared" ref="E60" si="77">(_xlfn.STDEV.S(C60:C61)/SQRT(2))/D60</f>
        <v>2.7051397655545495E-3</v>
      </c>
      <c r="F60" s="38"/>
      <c r="G60" s="39"/>
      <c r="H60" s="8">
        <v>0.28610000000000002</v>
      </c>
      <c r="I60">
        <f t="shared" si="1"/>
        <v>8.5830000000000002</v>
      </c>
      <c r="J60" s="38">
        <f t="shared" ref="J60" si="78">AVERAGE(I60:I61)</f>
        <v>8.0730000000000004</v>
      </c>
      <c r="K60" s="39">
        <f t="shared" ref="K60" si="79">(_xlfn.STDEV.S(I60:I61)/SQRT(2))/J60</f>
        <v>6.3173541434411021E-2</v>
      </c>
      <c r="L60" s="38"/>
      <c r="M60" s="39"/>
    </row>
    <row r="61" spans="1:13" x14ac:dyDescent="0.35">
      <c r="A61" s="8">
        <v>18</v>
      </c>
      <c r="B61">
        <v>0.27800000000000002</v>
      </c>
      <c r="C61">
        <f t="shared" si="0"/>
        <v>8.34</v>
      </c>
      <c r="D61" s="38"/>
      <c r="E61" s="39"/>
      <c r="F61" s="38"/>
      <c r="G61" s="39"/>
      <c r="H61" s="8">
        <v>0.25209999999999999</v>
      </c>
      <c r="I61">
        <f t="shared" si="1"/>
        <v>7.5629999999999997</v>
      </c>
      <c r="J61" s="38"/>
      <c r="K61" s="39"/>
      <c r="L61" s="38"/>
      <c r="M61" s="39"/>
    </row>
    <row r="62" spans="1:13" x14ac:dyDescent="0.35">
      <c r="A62" s="8">
        <v>19</v>
      </c>
      <c r="B62">
        <v>0.2233</v>
      </c>
      <c r="C62">
        <f t="shared" si="0"/>
        <v>6.6989999999999998</v>
      </c>
      <c r="D62" s="38">
        <f t="shared" ref="D62" si="80">AVERAGE(C62:C63)</f>
        <v>6.5549999999999997</v>
      </c>
      <c r="E62" s="39">
        <f t="shared" ref="E62" si="81">(_xlfn.STDEV.S(C62:C63)/SQRT(2))/D62</f>
        <v>2.1967963386727705E-2</v>
      </c>
      <c r="F62" s="38"/>
      <c r="G62" s="39"/>
      <c r="H62" s="8">
        <v>0.21809999999999999</v>
      </c>
      <c r="I62">
        <f t="shared" si="1"/>
        <v>6.5429999999999993</v>
      </c>
      <c r="J62" s="38">
        <f t="shared" ref="J62" si="82">AVERAGE(I62:I63)</f>
        <v>7.1744999999999992</v>
      </c>
      <c r="K62" s="39">
        <f t="shared" ref="K62" si="83">(_xlfn.STDEV.S(I62:I63)/SQRT(2))/J62</f>
        <v>8.8020071085093035E-2</v>
      </c>
      <c r="L62" s="38"/>
      <c r="M62" s="39"/>
    </row>
    <row r="63" spans="1:13" x14ac:dyDescent="0.35">
      <c r="A63" s="8">
        <v>19</v>
      </c>
      <c r="B63">
        <v>0.2137</v>
      </c>
      <c r="C63">
        <f t="shared" si="0"/>
        <v>6.4109999999999996</v>
      </c>
      <c r="D63" s="38"/>
      <c r="E63" s="39"/>
      <c r="F63" s="38"/>
      <c r="G63" s="39"/>
      <c r="H63" s="8">
        <v>0.26019999999999999</v>
      </c>
      <c r="I63">
        <f t="shared" si="1"/>
        <v>7.8059999999999992</v>
      </c>
      <c r="J63" s="38"/>
      <c r="K63" s="39"/>
      <c r="L63" s="38"/>
      <c r="M63" s="39"/>
    </row>
    <row r="64" spans="1:13" x14ac:dyDescent="0.35">
      <c r="A64" s="8">
        <v>20</v>
      </c>
      <c r="B64">
        <v>0.2152</v>
      </c>
      <c r="C64">
        <f t="shared" si="0"/>
        <v>6.4560000000000004</v>
      </c>
      <c r="D64" s="38">
        <f t="shared" ref="D64" si="84">AVERAGE(C64:C65)</f>
        <v>7.0215000000000005</v>
      </c>
      <c r="E64" s="39">
        <f t="shared" ref="E64" si="85">(_xlfn.STDEV.S(C64:C65)/SQRT(2))/D64</f>
        <v>8.0538346507156591E-2</v>
      </c>
      <c r="F64" s="38"/>
      <c r="G64" s="39"/>
      <c r="H64" s="8">
        <v>0.2056</v>
      </c>
      <c r="I64">
        <f t="shared" si="1"/>
        <v>6.1680000000000001</v>
      </c>
      <c r="J64" s="38">
        <f t="shared" ref="J64" si="86">AVERAGE(I64:I65)</f>
        <v>5.5470000000000006</v>
      </c>
      <c r="K64" s="39">
        <f t="shared" ref="K64" si="87">(_xlfn.STDEV.S(I64:I65)/SQRT(2))/J64</f>
        <v>0.11195240670632717</v>
      </c>
      <c r="L64" s="38"/>
      <c r="M64" s="39"/>
    </row>
    <row r="65" spans="1:13" x14ac:dyDescent="0.35">
      <c r="A65" s="8">
        <v>20</v>
      </c>
      <c r="B65">
        <v>0.25290000000000001</v>
      </c>
      <c r="C65">
        <f t="shared" si="0"/>
        <v>7.5870000000000006</v>
      </c>
      <c r="D65" s="38"/>
      <c r="E65" s="39"/>
      <c r="F65" s="38"/>
      <c r="G65" s="39"/>
      <c r="H65" s="8">
        <v>0.16420000000000001</v>
      </c>
      <c r="I65">
        <f t="shared" si="1"/>
        <v>4.9260000000000002</v>
      </c>
      <c r="J65" s="38"/>
      <c r="K65" s="39"/>
      <c r="L65" s="38"/>
      <c r="M65" s="39"/>
    </row>
    <row r="66" spans="1:13" x14ac:dyDescent="0.35">
      <c r="D66" s="8"/>
      <c r="E66" s="8"/>
      <c r="F66" s="8"/>
      <c r="G66" s="8"/>
      <c r="H66" s="8"/>
      <c r="I66" s="8"/>
      <c r="J66" s="8"/>
      <c r="K66" s="8"/>
      <c r="L66" s="8"/>
      <c r="M66" s="8"/>
    </row>
    <row r="67" spans="1:13" x14ac:dyDescent="0.35">
      <c r="D67" s="8"/>
      <c r="E67" s="8"/>
      <c r="F67" s="8"/>
      <c r="G67" s="8"/>
      <c r="H67" s="8"/>
      <c r="I67" s="8"/>
      <c r="J67" s="8"/>
      <c r="K67" s="8"/>
      <c r="L67" s="8"/>
      <c r="M67" s="8"/>
    </row>
    <row r="68" spans="1:13" x14ac:dyDescent="0.35">
      <c r="D68" s="8"/>
      <c r="E68" s="8"/>
      <c r="F68" s="8"/>
      <c r="G68" s="8"/>
      <c r="H68" s="8"/>
      <c r="I68" s="8"/>
      <c r="J68" s="8"/>
      <c r="K68" s="8"/>
      <c r="L68" s="8"/>
      <c r="M68" s="8"/>
    </row>
    <row r="69" spans="1:13" x14ac:dyDescent="0.35">
      <c r="D69" s="8"/>
      <c r="E69" s="8"/>
      <c r="F69" s="8"/>
      <c r="G69" s="8"/>
      <c r="H69" s="8"/>
      <c r="I69" s="8"/>
      <c r="J69" s="8"/>
      <c r="K69" s="8"/>
      <c r="L69" s="8"/>
      <c r="M69" s="8"/>
    </row>
    <row r="70" spans="1:13" x14ac:dyDescent="0.35">
      <c r="D70" s="8"/>
      <c r="E70" s="8"/>
      <c r="F70" s="8"/>
      <c r="G70" s="8"/>
      <c r="H70" s="8"/>
      <c r="I70" s="8"/>
      <c r="J70" s="8"/>
      <c r="K70" s="8"/>
      <c r="L70" s="8"/>
      <c r="M70" s="8"/>
    </row>
    <row r="71" spans="1:13" x14ac:dyDescent="0.35">
      <c r="D71" s="8"/>
      <c r="E71" s="8"/>
      <c r="F71" s="8"/>
      <c r="G71" s="8"/>
      <c r="H71" s="8"/>
      <c r="I71" s="8"/>
      <c r="J71" s="8"/>
      <c r="K71" s="8"/>
      <c r="L71" s="8"/>
      <c r="M71" s="8"/>
    </row>
    <row r="72" spans="1:13" x14ac:dyDescent="0.35">
      <c r="D72" s="8"/>
      <c r="E72" s="8"/>
      <c r="F72" s="8"/>
      <c r="G72" s="8"/>
      <c r="H72" s="8"/>
      <c r="I72" s="8"/>
      <c r="J72" s="8"/>
      <c r="K72" s="8"/>
      <c r="L72" s="8"/>
      <c r="M72" s="8"/>
    </row>
    <row r="73" spans="1:13" x14ac:dyDescent="0.35">
      <c r="D73" s="8"/>
      <c r="E73" s="8"/>
      <c r="F73" s="8"/>
      <c r="G73" s="8"/>
      <c r="H73" s="8"/>
      <c r="I73" s="8"/>
      <c r="J73" s="8"/>
      <c r="K73" s="8"/>
      <c r="L73" s="8"/>
      <c r="M73" s="8"/>
    </row>
    <row r="74" spans="1:13" x14ac:dyDescent="0.35">
      <c r="D74" s="8"/>
      <c r="E74" s="8"/>
      <c r="F74" s="8"/>
      <c r="G74" s="8"/>
      <c r="H74" s="8"/>
      <c r="I74" s="8"/>
      <c r="J74" s="8"/>
      <c r="K74" s="8"/>
      <c r="L74" s="8"/>
      <c r="M74" s="8"/>
    </row>
    <row r="75" spans="1:13" x14ac:dyDescent="0.35">
      <c r="D75" s="8"/>
      <c r="E75" s="8"/>
      <c r="F75" s="8"/>
      <c r="G75" s="8"/>
      <c r="H75" s="8"/>
      <c r="I75" s="8"/>
      <c r="J75" s="8"/>
      <c r="K75" s="8"/>
      <c r="L75" s="8"/>
      <c r="M75" s="8"/>
    </row>
    <row r="76" spans="1:13" x14ac:dyDescent="0.35">
      <c r="D76" s="8"/>
      <c r="E76" s="8"/>
      <c r="F76" s="8"/>
      <c r="G76" s="8"/>
      <c r="H76" s="8"/>
      <c r="I76" s="8"/>
      <c r="J76" s="8"/>
      <c r="K76" s="8"/>
      <c r="L76" s="8"/>
      <c r="M76" s="8"/>
    </row>
    <row r="77" spans="1:13" x14ac:dyDescent="0.35">
      <c r="D77" s="8"/>
      <c r="E77" s="8"/>
      <c r="F77" s="8"/>
      <c r="G77" s="8"/>
      <c r="H77" s="8"/>
      <c r="I77" s="8"/>
      <c r="J77" s="8"/>
      <c r="K77" s="8"/>
      <c r="L77" s="8"/>
      <c r="M77" s="8"/>
    </row>
    <row r="78" spans="1:13" x14ac:dyDescent="0.35">
      <c r="D78" s="8"/>
      <c r="E78" s="8"/>
      <c r="F78" s="8"/>
      <c r="G78" s="8"/>
      <c r="H78" s="8"/>
      <c r="I78" s="8"/>
      <c r="J78" s="8"/>
      <c r="K78" s="8"/>
      <c r="L78" s="8"/>
      <c r="M78" s="8"/>
    </row>
    <row r="79" spans="1:13" x14ac:dyDescent="0.35">
      <c r="D79" s="8"/>
      <c r="E79" s="8"/>
      <c r="F79" s="8"/>
      <c r="G79" s="8"/>
      <c r="H79" s="8"/>
      <c r="I79" s="8"/>
      <c r="J79" s="8"/>
      <c r="K79" s="8"/>
      <c r="L79" s="8"/>
      <c r="M79" s="8"/>
    </row>
    <row r="80" spans="1:13" x14ac:dyDescent="0.35">
      <c r="D80" s="8"/>
      <c r="E80" s="8"/>
      <c r="F80" s="8"/>
      <c r="G80" s="8"/>
      <c r="H80" s="8"/>
      <c r="I80" s="8"/>
      <c r="J80" s="8"/>
      <c r="K80" s="8"/>
      <c r="L80" s="8"/>
      <c r="M80" s="8"/>
    </row>
    <row r="81" spans="4:13" x14ac:dyDescent="0.35">
      <c r="D81" s="8"/>
      <c r="E81" s="8"/>
      <c r="F81" s="8"/>
      <c r="G81" s="8"/>
      <c r="H81" s="8"/>
      <c r="I81" s="8"/>
      <c r="J81" s="8"/>
      <c r="K81" s="8"/>
      <c r="L81" s="8"/>
      <c r="M81" s="8"/>
    </row>
    <row r="82" spans="4:13" x14ac:dyDescent="0.35">
      <c r="D82" s="8"/>
      <c r="E82" s="8"/>
      <c r="F82" s="8"/>
      <c r="G82" s="8"/>
      <c r="H82" s="8"/>
      <c r="I82" s="8"/>
      <c r="J82" s="8"/>
      <c r="K82" s="8"/>
      <c r="L82" s="8"/>
      <c r="M82" s="8"/>
    </row>
    <row r="83" spans="4:13" x14ac:dyDescent="0.35">
      <c r="D83" s="8"/>
      <c r="E83" s="8"/>
      <c r="F83" s="8"/>
      <c r="G83" s="8"/>
      <c r="H83" s="8"/>
      <c r="I83" s="8"/>
      <c r="J83" s="8"/>
      <c r="K83" s="8"/>
      <c r="L83" s="8"/>
      <c r="M83" s="8"/>
    </row>
    <row r="84" spans="4:13" x14ac:dyDescent="0.35">
      <c r="D84" s="8"/>
      <c r="E84" s="8"/>
      <c r="F84" s="8"/>
      <c r="G84" s="8"/>
      <c r="H84" s="8"/>
      <c r="I84" s="8"/>
      <c r="J84" s="8"/>
      <c r="K84" s="8"/>
      <c r="L84" s="8"/>
      <c r="M84" s="8"/>
    </row>
    <row r="85" spans="4:13" x14ac:dyDescent="0.35">
      <c r="D85" s="8"/>
      <c r="E85" s="8"/>
      <c r="F85" s="8"/>
      <c r="G85" s="8"/>
      <c r="H85" s="8"/>
      <c r="I85" s="8"/>
      <c r="J85" s="8"/>
      <c r="K85" s="8"/>
      <c r="L85" s="8"/>
      <c r="M85" s="8"/>
    </row>
    <row r="86" spans="4:13" x14ac:dyDescent="0.35">
      <c r="D86" s="8"/>
      <c r="E86" s="8"/>
      <c r="F86" s="8"/>
      <c r="G86" s="8"/>
      <c r="H86" s="8"/>
      <c r="I86" s="8"/>
      <c r="J86" s="8"/>
      <c r="K86" s="8"/>
      <c r="L86" s="8"/>
      <c r="M86" s="8"/>
    </row>
    <row r="87" spans="4:13" x14ac:dyDescent="0.35">
      <c r="D87" s="8"/>
      <c r="E87" s="8"/>
      <c r="F87" s="8"/>
      <c r="G87" s="8"/>
      <c r="H87" s="8"/>
      <c r="I87" s="8"/>
      <c r="J87" s="8"/>
      <c r="K87" s="8"/>
      <c r="L87" s="8"/>
      <c r="M87" s="8"/>
    </row>
    <row r="88" spans="4:13" x14ac:dyDescent="0.35">
      <c r="D88" s="8"/>
      <c r="E88" s="8"/>
      <c r="F88" s="8"/>
      <c r="G88" s="8"/>
      <c r="H88" s="8"/>
      <c r="I88" s="8"/>
      <c r="J88" s="8"/>
      <c r="K88" s="8"/>
      <c r="L88" s="8"/>
      <c r="M88" s="8"/>
    </row>
    <row r="89" spans="4:13" x14ac:dyDescent="0.35">
      <c r="D89" s="8"/>
      <c r="E89" s="8"/>
      <c r="F89" s="8"/>
      <c r="G89" s="8"/>
      <c r="H89" s="8"/>
      <c r="I89" s="8"/>
      <c r="J89" s="8"/>
      <c r="K89" s="8"/>
      <c r="L89" s="8"/>
      <c r="M89" s="8"/>
    </row>
    <row r="90" spans="4:13" x14ac:dyDescent="0.35">
      <c r="D90" s="8"/>
      <c r="E90" s="8"/>
      <c r="F90" s="8"/>
      <c r="G90" s="8"/>
      <c r="H90" s="8"/>
      <c r="I90" s="8"/>
      <c r="J90" s="8"/>
      <c r="K90" s="8"/>
      <c r="L90" s="8"/>
      <c r="M90" s="8"/>
    </row>
    <row r="91" spans="4:13" x14ac:dyDescent="0.35">
      <c r="D91" s="8"/>
      <c r="E91" s="8"/>
      <c r="F91" s="8"/>
      <c r="G91" s="8"/>
      <c r="H91" s="8"/>
      <c r="I91" s="8"/>
      <c r="J91" s="8"/>
      <c r="K91" s="8"/>
      <c r="L91" s="8"/>
      <c r="M91" s="8"/>
    </row>
    <row r="92" spans="4:13" x14ac:dyDescent="0.35">
      <c r="D92" s="8"/>
      <c r="E92" s="8"/>
      <c r="F92" s="8"/>
      <c r="G92" s="8"/>
      <c r="H92" s="8"/>
      <c r="I92" s="8"/>
      <c r="J92" s="8"/>
      <c r="K92" s="8"/>
      <c r="L92" s="8"/>
      <c r="M92" s="8"/>
    </row>
    <row r="93" spans="4:13" x14ac:dyDescent="0.35">
      <c r="D93" s="8"/>
      <c r="E93" s="8"/>
      <c r="F93" s="8"/>
      <c r="G93" s="8"/>
      <c r="H93" s="8"/>
      <c r="I93" s="8"/>
      <c r="J93" s="8"/>
      <c r="K93" s="8"/>
      <c r="L93" s="8"/>
      <c r="M93" s="8"/>
    </row>
    <row r="94" spans="4:13" x14ac:dyDescent="0.35">
      <c r="D94" s="8"/>
      <c r="E94" s="8"/>
      <c r="F94" s="8"/>
      <c r="G94" s="8"/>
      <c r="H94" s="8"/>
      <c r="I94" s="8"/>
      <c r="J94" s="8"/>
      <c r="K94" s="8"/>
      <c r="L94" s="8"/>
      <c r="M94" s="8"/>
    </row>
    <row r="95" spans="4:13" x14ac:dyDescent="0.35">
      <c r="D95" s="8"/>
      <c r="E95" s="8"/>
      <c r="F95" s="8"/>
      <c r="G95" s="8"/>
      <c r="H95" s="8"/>
      <c r="I95" s="8"/>
      <c r="J95" s="8"/>
      <c r="K95" s="8"/>
      <c r="L95" s="8"/>
      <c r="M95" s="8"/>
    </row>
    <row r="96" spans="4:13" x14ac:dyDescent="0.35">
      <c r="D96" s="8"/>
      <c r="E96" s="8"/>
      <c r="F96" s="8"/>
      <c r="G96" s="8"/>
      <c r="H96" s="8"/>
      <c r="I96" s="8"/>
      <c r="J96" s="8"/>
      <c r="K96" s="8"/>
      <c r="L96" s="8"/>
      <c r="M96" s="8"/>
    </row>
    <row r="97" spans="4:13" x14ac:dyDescent="0.35">
      <c r="D97" s="8"/>
      <c r="E97" s="8"/>
      <c r="F97" s="8"/>
      <c r="G97" s="8"/>
      <c r="H97" s="8"/>
      <c r="I97" s="8"/>
      <c r="J97" s="8"/>
      <c r="K97" s="8"/>
      <c r="L97" s="8"/>
      <c r="M97" s="8"/>
    </row>
    <row r="98" spans="4:13" x14ac:dyDescent="0.35">
      <c r="D98" s="8"/>
      <c r="E98" s="8"/>
      <c r="F98" s="8"/>
      <c r="G98" s="8"/>
      <c r="H98" s="8"/>
      <c r="I98" s="8"/>
      <c r="J98" s="8"/>
      <c r="K98" s="8"/>
      <c r="L98" s="8"/>
      <c r="M98" s="8"/>
    </row>
    <row r="99" spans="4:13" x14ac:dyDescent="0.35">
      <c r="D99" s="8"/>
      <c r="E99" s="8"/>
      <c r="F99" s="8"/>
      <c r="G99" s="8"/>
      <c r="H99" s="8"/>
      <c r="I99" s="8"/>
      <c r="J99" s="8"/>
      <c r="K99" s="8"/>
      <c r="L99" s="8"/>
      <c r="M99" s="8"/>
    </row>
    <row r="100" spans="4:13" x14ac:dyDescent="0.35">
      <c r="D100" s="8"/>
      <c r="E100" s="8"/>
      <c r="F100" s="8"/>
      <c r="G100" s="8"/>
      <c r="H100" s="8"/>
      <c r="I100" s="8"/>
      <c r="J100" s="8"/>
      <c r="K100" s="8"/>
      <c r="L100" s="8"/>
      <c r="M100" s="8"/>
    </row>
    <row r="101" spans="4:13" x14ac:dyDescent="0.35">
      <c r="D101" s="8"/>
      <c r="E101" s="8"/>
      <c r="F101" s="8"/>
      <c r="G101" s="8"/>
      <c r="H101" s="8"/>
      <c r="I101" s="8"/>
      <c r="J101" s="8"/>
      <c r="K101" s="8"/>
      <c r="L101" s="8"/>
      <c r="M101" s="8"/>
    </row>
    <row r="102" spans="4:13" x14ac:dyDescent="0.35">
      <c r="D102" s="8"/>
      <c r="E102" s="8"/>
      <c r="F102" s="8"/>
      <c r="G102" s="8"/>
      <c r="H102" s="8"/>
      <c r="I102" s="8"/>
      <c r="J102" s="8"/>
      <c r="K102" s="8"/>
      <c r="L102" s="8"/>
      <c r="M102" s="8"/>
    </row>
    <row r="103" spans="4:13" x14ac:dyDescent="0.35">
      <c r="D103" s="8"/>
      <c r="E103" s="8"/>
      <c r="F103" s="8"/>
      <c r="G103" s="8"/>
      <c r="H103" s="8"/>
      <c r="I103" s="8"/>
      <c r="J103" s="8"/>
      <c r="K103" s="8"/>
      <c r="L103" s="8"/>
      <c r="M103" s="8"/>
    </row>
    <row r="104" spans="4:13" x14ac:dyDescent="0.35">
      <c r="D104" s="8"/>
      <c r="E104" s="8"/>
      <c r="F104" s="8"/>
      <c r="G104" s="8"/>
      <c r="H104" s="8"/>
      <c r="I104" s="8"/>
      <c r="J104" s="8"/>
      <c r="K104" s="8"/>
      <c r="L104" s="8"/>
      <c r="M104" s="8"/>
    </row>
  </sheetData>
  <mergeCells count="96">
    <mergeCell ref="J62:J63"/>
    <mergeCell ref="K62:K63"/>
    <mergeCell ref="J64:J65"/>
    <mergeCell ref="K64:K65"/>
    <mergeCell ref="J54:J55"/>
    <mergeCell ref="K54:K55"/>
    <mergeCell ref="J56:J57"/>
    <mergeCell ref="K56:K57"/>
    <mergeCell ref="L56:L65"/>
    <mergeCell ref="M56:M65"/>
    <mergeCell ref="J58:J59"/>
    <mergeCell ref="K58:K59"/>
    <mergeCell ref="J60:J61"/>
    <mergeCell ref="K60:K61"/>
    <mergeCell ref="J46:J47"/>
    <mergeCell ref="K46:K47"/>
    <mergeCell ref="L46:L55"/>
    <mergeCell ref="M46:M55"/>
    <mergeCell ref="J48:J49"/>
    <mergeCell ref="K48:K49"/>
    <mergeCell ref="J50:J51"/>
    <mergeCell ref="K50:K51"/>
    <mergeCell ref="J52:J53"/>
    <mergeCell ref="K52:K53"/>
    <mergeCell ref="L36:L45"/>
    <mergeCell ref="M36:M45"/>
    <mergeCell ref="J38:J39"/>
    <mergeCell ref="K38:K39"/>
    <mergeCell ref="J40:J41"/>
    <mergeCell ref="K40:K41"/>
    <mergeCell ref="J42:J43"/>
    <mergeCell ref="K42:K43"/>
    <mergeCell ref="J44:J45"/>
    <mergeCell ref="K44:K45"/>
    <mergeCell ref="J32:J33"/>
    <mergeCell ref="K32:K33"/>
    <mergeCell ref="J34:J35"/>
    <mergeCell ref="K34:K35"/>
    <mergeCell ref="J36:J37"/>
    <mergeCell ref="K36:K37"/>
    <mergeCell ref="F56:F65"/>
    <mergeCell ref="G56:G65"/>
    <mergeCell ref="J26:J27"/>
    <mergeCell ref="K26:K27"/>
    <mergeCell ref="L26:L35"/>
    <mergeCell ref="M26:M35"/>
    <mergeCell ref="J28:J29"/>
    <mergeCell ref="K28:K29"/>
    <mergeCell ref="J30:J31"/>
    <mergeCell ref="K30:K31"/>
    <mergeCell ref="D62:D63"/>
    <mergeCell ref="E62:E63"/>
    <mergeCell ref="D64:D65"/>
    <mergeCell ref="E64:E65"/>
    <mergeCell ref="F26:F35"/>
    <mergeCell ref="G26:G35"/>
    <mergeCell ref="F36:F45"/>
    <mergeCell ref="G36:G45"/>
    <mergeCell ref="F46:F55"/>
    <mergeCell ref="G46:G55"/>
    <mergeCell ref="D56:D57"/>
    <mergeCell ref="E56:E57"/>
    <mergeCell ref="D58:D59"/>
    <mergeCell ref="E58:E59"/>
    <mergeCell ref="D60:D61"/>
    <mergeCell ref="E60:E61"/>
    <mergeCell ref="D50:D51"/>
    <mergeCell ref="E50:E51"/>
    <mergeCell ref="D52:D53"/>
    <mergeCell ref="E52:E53"/>
    <mergeCell ref="D54:D55"/>
    <mergeCell ref="E54:E55"/>
    <mergeCell ref="D44:D45"/>
    <mergeCell ref="E44:E45"/>
    <mergeCell ref="D46:D47"/>
    <mergeCell ref="E46:E47"/>
    <mergeCell ref="D48:D49"/>
    <mergeCell ref="E48:E49"/>
    <mergeCell ref="D38:D39"/>
    <mergeCell ref="E38:E39"/>
    <mergeCell ref="D40:D41"/>
    <mergeCell ref="E40:E41"/>
    <mergeCell ref="D42:D43"/>
    <mergeCell ref="E42:E43"/>
    <mergeCell ref="D32:D33"/>
    <mergeCell ref="E32:E33"/>
    <mergeCell ref="D34:D35"/>
    <mergeCell ref="E34:E35"/>
    <mergeCell ref="D36:D37"/>
    <mergeCell ref="E36:E37"/>
    <mergeCell ref="D26:D27"/>
    <mergeCell ref="E26:E27"/>
    <mergeCell ref="D28:D29"/>
    <mergeCell ref="E28:E29"/>
    <mergeCell ref="D30:D31"/>
    <mergeCell ref="E30:E3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5F02E-8B65-4A8C-9022-EC9B9FAD68E1}">
  <dimension ref="A1"/>
  <sheetViews>
    <sheetView workbookViewId="0">
      <selection activeCell="G16" sqref="G16"/>
    </sheetView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Datos TFG</vt:lpstr>
      <vt:lpstr>Peso</vt:lpstr>
      <vt:lpstr>Clor a+c2</vt:lpstr>
      <vt:lpstr>CAT</vt:lpstr>
      <vt:lpstr>GST</vt:lpstr>
      <vt:lpstr>TEAC</vt:lpstr>
      <vt:lpstr>Bradford</vt:lpstr>
      <vt:lpstr>MDA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collfernandezalberto@gmail.com</dc:creator>
  <cp:lastModifiedBy>collfernandezalberto@gmail.com</cp:lastModifiedBy>
  <dcterms:created xsi:type="dcterms:W3CDTF">2023-05-07T17:01:16Z</dcterms:created>
  <dcterms:modified xsi:type="dcterms:W3CDTF">2023-06-20T18:56:19Z</dcterms:modified>
</cp:coreProperties>
</file>