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D8E4243B-34B1-438A-96E3-BF3785EEEC59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s inicial y final" sheetId="1" r:id="rId2"/>
    <sheet name="Cálculos clorofila" sheetId="12" r:id="rId3"/>
    <sheet name="Calculos CAT" sheetId="6" r:id="rId4"/>
    <sheet name="Calculos GST" sheetId="7" r:id="rId5"/>
    <sheet name="Calculos TEAC" sheetId="10" r:id="rId6"/>
    <sheet name="Calculos DTD" sheetId="9" r:id="rId7"/>
    <sheet name="Cálculos Bradford" sheetId="11" r:id="rId8"/>
    <sheet name="Calculos MDA" sheetId="13" r:id="rId9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'Pesos inicial y final'!$F$10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10"/>
    <pivotCache cacheId="2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P28" i="12" l="1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AA17" i="9"/>
  <c r="R13" i="7"/>
  <c r="S13" i="7" s="1"/>
  <c r="R23" i="7"/>
  <c r="S23" i="7" s="1"/>
  <c r="R33" i="7"/>
  <c r="S33" i="7" s="1"/>
  <c r="R3" i="7"/>
  <c r="S3" i="7" s="1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I13" i="7"/>
  <c r="J13" i="7"/>
  <c r="G19" i="7"/>
  <c r="J23" i="7"/>
  <c r="J33" i="7"/>
  <c r="J3" i="7"/>
  <c r="I23" i="7"/>
  <c r="I33" i="7"/>
  <c r="I3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O33" i="6"/>
  <c r="N21" i="6"/>
  <c r="O21" i="6" s="1"/>
  <c r="N23" i="6"/>
  <c r="P23" i="6" s="1"/>
  <c r="Q23" i="6" s="1"/>
  <c r="N25" i="6"/>
  <c r="P25" i="6" s="1"/>
  <c r="Q25" i="6" s="1"/>
  <c r="N27" i="6"/>
  <c r="P27" i="6" s="1"/>
  <c r="Q27" i="6" s="1"/>
  <c r="N29" i="6"/>
  <c r="P29" i="6" s="1"/>
  <c r="Q29" i="6" s="1"/>
  <c r="N31" i="6"/>
  <c r="P31" i="6" s="1"/>
  <c r="Q31" i="6" s="1"/>
  <c r="N33" i="6"/>
  <c r="P33" i="6" s="1"/>
  <c r="Q33" i="6" s="1"/>
  <c r="N35" i="6"/>
  <c r="P35" i="6" s="1"/>
  <c r="Q35" i="6" s="1"/>
  <c r="N37" i="6"/>
  <c r="O37" i="6" s="1"/>
  <c r="N39" i="6"/>
  <c r="P39" i="6" s="1"/>
  <c r="Q39" i="6" s="1"/>
  <c r="N41" i="6"/>
  <c r="P41" i="6" s="1"/>
  <c r="Q41" i="6" s="1"/>
  <c r="N43" i="6"/>
  <c r="P43" i="6" s="1"/>
  <c r="Q43" i="6" s="1"/>
  <c r="N45" i="6"/>
  <c r="P45" i="6" s="1"/>
  <c r="Q45" i="6" s="1"/>
  <c r="N47" i="6"/>
  <c r="P47" i="6" s="1"/>
  <c r="Q47" i="6" s="1"/>
  <c r="N49" i="6"/>
  <c r="O49" i="6" s="1"/>
  <c r="N19" i="6"/>
  <c r="P19" i="6" s="1"/>
  <c r="Q19" i="6" s="1"/>
  <c r="N15" i="6"/>
  <c r="O15" i="6" s="1"/>
  <c r="N11" i="6"/>
  <c r="P11" i="6" s="1"/>
  <c r="Q11" i="6" s="1"/>
  <c r="N7" i="6"/>
  <c r="P7" i="6" s="1"/>
  <c r="Q7" i="6" s="1"/>
  <c r="N3" i="6"/>
  <c r="P3" i="6" s="1"/>
  <c r="Q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D21" i="6"/>
  <c r="E21" i="6" s="1"/>
  <c r="D23" i="6"/>
  <c r="E23" i="6" s="1"/>
  <c r="D25" i="6"/>
  <c r="E25" i="6" s="1"/>
  <c r="D19" i="6"/>
  <c r="F19" i="6" s="1"/>
  <c r="G19" i="6" s="1"/>
  <c r="D7" i="6"/>
  <c r="E7" i="6" s="1"/>
  <c r="D11" i="6"/>
  <c r="E11" i="6" s="1"/>
  <c r="D15" i="6"/>
  <c r="E15" i="6" s="1"/>
  <c r="D3" i="6"/>
  <c r="E3" i="6" s="1"/>
  <c r="E35" i="6" l="1"/>
  <c r="O35" i="6"/>
  <c r="E19" i="6"/>
  <c r="P49" i="6"/>
  <c r="Q49" i="6" s="1"/>
  <c r="T41" i="6" s="1"/>
  <c r="U41" i="6" s="1"/>
  <c r="O47" i="6"/>
  <c r="O45" i="6"/>
  <c r="O31" i="6"/>
  <c r="F37" i="6"/>
  <c r="G37" i="6" s="1"/>
  <c r="O29" i="6"/>
  <c r="O19" i="6"/>
  <c r="F31" i="6"/>
  <c r="G31" i="6" s="1"/>
  <c r="F3" i="6"/>
  <c r="G3" i="6" s="1"/>
  <c r="F43" i="6"/>
  <c r="G43" i="6" s="1"/>
  <c r="F27" i="6"/>
  <c r="G27" i="6" s="1"/>
  <c r="O3" i="6"/>
  <c r="O43" i="6"/>
  <c r="O27" i="6"/>
  <c r="F33" i="6"/>
  <c r="G33" i="6" s="1"/>
  <c r="E49" i="6"/>
  <c r="F45" i="6"/>
  <c r="G45" i="6" s="1"/>
  <c r="F15" i="6"/>
  <c r="G15" i="6" s="1"/>
  <c r="F41" i="6"/>
  <c r="G41" i="6" s="1"/>
  <c r="F25" i="6"/>
  <c r="G25" i="6" s="1"/>
  <c r="O7" i="6"/>
  <c r="O41" i="6"/>
  <c r="O25" i="6"/>
  <c r="P21" i="6"/>
  <c r="Q21" i="6" s="1"/>
  <c r="T21" i="6" s="1"/>
  <c r="U21" i="6" s="1"/>
  <c r="P37" i="6"/>
  <c r="Q37" i="6" s="1"/>
  <c r="T31" i="6" s="1"/>
  <c r="U31" i="6" s="1"/>
  <c r="F29" i="6"/>
  <c r="G29" i="6" s="1"/>
  <c r="F11" i="6"/>
  <c r="G11" i="6" s="1"/>
  <c r="F39" i="6"/>
  <c r="G39" i="6" s="1"/>
  <c r="F23" i="6"/>
  <c r="G23" i="6" s="1"/>
  <c r="O11" i="6"/>
  <c r="O39" i="6"/>
  <c r="O23" i="6"/>
  <c r="F47" i="6"/>
  <c r="G47" i="6" s="1"/>
  <c r="P15" i="6"/>
  <c r="Q15" i="6" s="1"/>
  <c r="T3" i="6" s="1"/>
  <c r="U3" i="6" s="1"/>
  <c r="F7" i="6"/>
  <c r="G7" i="6" s="1"/>
  <c r="F21" i="6"/>
  <c r="G21" i="6" s="1"/>
  <c r="J21" i="6" l="1"/>
  <c r="K21" i="6" s="1"/>
  <c r="J41" i="6"/>
  <c r="K41" i="6" s="1"/>
  <c r="J3" i="6"/>
  <c r="K3" i="6" s="1"/>
  <c r="J31" i="6"/>
  <c r="K3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<sst xmlns="http://schemas.openxmlformats.org/spreadsheetml/2006/main" count="875" uniqueCount="141">
  <si>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</si>
  <si>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</si>
  <si>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</si>
  <si>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</si>
  <si>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</si>
  <si>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</si>
  <si>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</si>
  <si>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</si>
  <si>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</si>
  <si>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</si>
  <si>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</si>
  <si>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</si>
  <si>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</si>
  <si>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</si>
  <si>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</si>
  <si>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</si>
  <si>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</si>
  <si>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</si>
  <si>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</si>
  <si>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</si>
  <si>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</si>
  <si>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</si>
  <si>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</si>
  <si>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</si>
  <si>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</si>
  <si>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</si>
  <si>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</si>
  <si>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</si>
  <si>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</si>
  <si>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</si>
  <si>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</si>
  <si>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</si>
  <si>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</si>
  <si>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</si>
  <si>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</si>
  <si>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</si>
  <si>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</si>
  <si>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</si>
  <si>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</si>
  <si>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</si>
  <si>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</si>
  <si>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</si>
  <si>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O1</t>
  </si>
  <si>
    <t>O2</t>
  </si>
  <si>
    <t>S2</t>
  </si>
  <si>
    <t>O3</t>
  </si>
  <si>
    <t>O4</t>
  </si>
  <si>
    <t>O5</t>
  </si>
  <si>
    <t>O6</t>
  </si>
  <si>
    <t>O7</t>
  </si>
  <si>
    <t>O8</t>
  </si>
  <si>
    <t>O9</t>
  </si>
  <si>
    <t>S1</t>
  </si>
  <si>
    <t>O10</t>
  </si>
  <si>
    <t>S3</t>
  </si>
  <si>
    <t>S4</t>
  </si>
  <si>
    <t>S5</t>
  </si>
  <si>
    <t>S6</t>
  </si>
  <si>
    <t>S7</t>
  </si>
  <si>
    <t>S8</t>
  </si>
  <si>
    <t>S9</t>
  </si>
  <si>
    <t>S10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</si>
  <si>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</si>
  <si>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</si>
  <si>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</si>
  <si>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</si>
  <si>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</si>
  <si>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</si>
  <si>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</si>
  <si>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</si>
  <si>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</si>
  <si>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</si>
  <si>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</si>
  <si>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</si>
  <si>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</si>
  <si>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</si>
  <si>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</si>
  <si>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</si>
  <si>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</si>
  <si>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</si>
  <si>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</si>
  <si>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</si>
  <si>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</si>
  <si>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</si>
  <si>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</si>
  <si>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</si>
  <si>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</si>
  <si>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</si>
  <si>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</si>
  <si>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</si>
  <si>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</si>
  <si>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</si>
  <si>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</si>
  <si>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</si>
  <si>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</si>
  <si>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</si>
  <si>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</si>
  <si>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</si>
  <si>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</si>
  <si>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</si>
  <si>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</si>
  <si>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</si>
  <si>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</si>
  <si>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</si>
  <si>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</si>
  <si>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</si>
  <si>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</si>
  <si>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</si>
  <si>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</si>
  <si>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</si>
  <si>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</si>
  <si>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</si>
  <si>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</si>
  <si>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</si>
  <si>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</si>
  <si>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</si>
  <si>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</si>
  <si>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</si>
  <si>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</si>
  <si>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</si>
  <si>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-control</t>
  </si>
  <si>
    <t>mU / mg proteina</t>
  </si>
  <si>
    <t>Actividad control =</t>
  </si>
  <si>
    <t>mDO/min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</si>
  <si>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</si>
  <si>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</si>
  <si>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</si>
  <si>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</si>
  <si>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</si>
  <si>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</si>
  <si>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</si>
  <si>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</si>
  <si>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</si>
  <si>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Segundo</t>
  </si>
  <si>
    <t>Primero (mirar si es tentaculo o pie)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</si>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</sst>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8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2" borderId="0" xfId="0" quotePrefix="1" applyFill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8" borderId="0" xfId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9" fontId="0" fillId="0" borderId="0" xfId="1" applyNumberFormat="1" applyFont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9" fontId="9" fillId="0" borderId="0" xfId="1" applyNumberFormat="1" applyFont="1" applyAlignment="1">
      <alignment horizontal="center" vertical="center"/>
    </xf>
    <xf numFmtId="0" fontId="0" fillId="11" borderId="0" xfId="0" applyFill="1"/>
    <xf numFmtId="9" fontId="2" fillId="0" borderId="0" xfId="1" applyFont="1" applyAlignment="1">
      <alignment horizontal="center" vertical="center"/>
    </xf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9" fontId="2" fillId="0" borderId="0" xfId="1" applyFon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9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1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5" fontId="2" fillId="0" borderId="0" xfId="0" applyNumberFormat="1" applyFont="1" applyFill="1"/>
    <xf numFmtId="0" fontId="0" fillId="13" borderId="0" xfId="0" applyFill="1"/>
    <xf numFmtId="165" fontId="2" fillId="13" borderId="0" xfId="0" applyNumberFormat="1" applyFont="1" applyFill="1"/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7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5050"/>
      <color rgb="FF00FF00"/>
      <color rgb="FF99FFCC"/>
      <color rgb="FFCC99FF"/>
      <color rgb="FFFF33CC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Alberto.xlsx]Pesos inicial y final!TablaDinámica1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'Pesos inicial y final'!$J$3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'Pesos inicial y final'!$I$3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Alberto.xlsx]Cálculos clorofila!TablaDinámica1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'Cálculos clorofila'!$W$3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'Cálculos clorofila'!$V$4:$V$8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'Cálculos clorofila'!$W$4:$W$8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'Calculos TEAC'!$D$2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'Calculos TEAC'!$D$3:$D$14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'Calculos TEAC'!$C$3:$C$14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286806</xdr:colOff>
      <xdr:row>0</xdr:row>
      <xdr:rowOff>120578</xdr:rowOff>
    </xdr:from>
    <xdr:to>
      <xdr:col>25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120650</xdr:colOff>
      <xdr:row>1</xdr:row>
      <xdr:rowOff>127000</xdr:rowOff>
    </xdr:from>
    <xdr:to>
      <xdr:col>28</xdr:col>
      <xdr:colOff>2323</xdr:colOff>
      <xdr:row>4</xdr:row>
      <xdr:rowOff>37887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2ADAFF-D8E7-4597-A01C-216EB7022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7100" y="311150"/>
          <a:ext cx="2167673" cy="46333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s inicial y final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álculos clorofila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41"/>
  <sheetViews>
    <sheetView tabSelected="1" zoomScale="55" zoomScaleNormal="55" workbookViewId="0">
      <selection activeCell="K23" sqref="K23"/>
    </sheetView>
  </sheetViews>
  <sheetFormatPr baseColWidth="10" defaultRowHeight="14.5" x14ac:dyDescent="0.35"/>
  <cols>
    <col min="1" max="3" width="10.90625" style="51"/>
    <col min="4" max="4" width="11.7265625" style="51" bestFit="1" customWidth="1"/>
    <col min="5" max="5" width="16.26953125" style="51" bestFit="1" customWidth="1"/>
    <col min="6" max="13" width="11.26953125" style="51" bestFit="1" customWidth="1"/>
    <col min="14" max="17" width="11.26953125" style="51" customWidth="1"/>
    <col min="18" max="20" width="11.26953125" style="51" bestFit="1" customWidth="1"/>
    <col min="21" max="21" width="11.81640625" style="51" bestFit="1" customWidth="1"/>
    <col min="22" max="22" width="11.81640625" style="51" customWidth="1"/>
    <col min="23" max="16384" width="10.90625" style="51"/>
  </cols>
  <sheetData>
    <row r="1" spans="1:23" x14ac:dyDescent="0.35">
      <c r="A1" s="64" t="s">
        <v>0</v>
      </c>
      <c r="B1" s="64" t="s">
        <v>31</v>
      </c>
      <c r="C1" s="64" t="s">
        <v>18</v>
      </c>
      <c r="D1" s="71" t="s">
        <v>84</v>
      </c>
      <c r="E1" s="71" t="s">
        <v>83</v>
      </c>
      <c r="F1" s="68" t="s">
        <v>19</v>
      </c>
      <c r="G1" s="68" t="s">
        <v>20</v>
      </c>
      <c r="H1" s="69" t="s">
        <v>21</v>
      </c>
      <c r="I1" s="69" t="s">
        <v>22</v>
      </c>
      <c r="J1" s="68" t="s">
        <v>23</v>
      </c>
      <c r="K1" s="68" t="s">
        <v>24</v>
      </c>
      <c r="L1" s="68" t="s">
        <v>25</v>
      </c>
      <c r="M1" s="68" t="s">
        <v>26</v>
      </c>
      <c r="N1" s="69" t="s">
        <v>85</v>
      </c>
      <c r="O1" s="69" t="s">
        <v>82</v>
      </c>
      <c r="P1" s="70" t="s">
        <v>86</v>
      </c>
      <c r="Q1" s="70" t="s">
        <v>87</v>
      </c>
      <c r="R1" s="69" t="s">
        <v>27</v>
      </c>
      <c r="S1" s="69" t="s">
        <v>28</v>
      </c>
      <c r="T1" s="69" t="s">
        <v>29</v>
      </c>
      <c r="U1" s="69" t="s">
        <v>30</v>
      </c>
      <c r="V1" s="69" t="s">
        <v>89</v>
      </c>
      <c r="W1" s="69" t="s">
        <v>88</v>
      </c>
    </row>
    <row r="2" spans="1:23" x14ac:dyDescent="0.35">
      <c r="A2" s="51">
        <v>1</v>
      </c>
      <c r="B2" s="51" t="s">
        <v>32</v>
      </c>
      <c r="C2" s="51" t="s">
        <v>10</v>
      </c>
      <c r="D2" s="51">
        <v>30</v>
      </c>
      <c r="E2" s="51">
        <v>101.68164362519201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3" x14ac:dyDescent="0.35">
      <c r="A3" s="51">
        <v>2</v>
      </c>
      <c r="B3" s="51" t="s">
        <v>33</v>
      </c>
      <c r="C3" s="51" t="s">
        <v>10</v>
      </c>
      <c r="D3" s="51">
        <v>20</v>
      </c>
      <c r="E3" s="51">
        <v>78.11097560975611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3" x14ac:dyDescent="0.35">
      <c r="A4" s="51">
        <v>3</v>
      </c>
      <c r="B4" s="51" t="s">
        <v>34</v>
      </c>
      <c r="C4" s="51" t="s">
        <v>10</v>
      </c>
      <c r="D4" s="51">
        <v>31</v>
      </c>
      <c r="E4" s="51">
        <v>119.00882552613714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3" x14ac:dyDescent="0.35">
      <c r="A5" s="51">
        <v>4</v>
      </c>
      <c r="B5" s="51" t="s">
        <v>35</v>
      </c>
      <c r="C5" s="51" t="s">
        <v>10</v>
      </c>
      <c r="D5" s="51">
        <v>31</v>
      </c>
      <c r="E5" s="51">
        <v>98.048906789413124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3" x14ac:dyDescent="0.35">
      <c r="A6" s="51">
        <v>5</v>
      </c>
      <c r="B6" s="51" t="s">
        <v>36</v>
      </c>
      <c r="C6" s="51" t="s">
        <v>10</v>
      </c>
      <c r="D6" s="51">
        <v>15</v>
      </c>
      <c r="E6" s="51">
        <v>155.94201030927834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3" s="66" customFormat="1" hidden="1" x14ac:dyDescent="0.35">
      <c r="A7" s="66">
        <v>6</v>
      </c>
      <c r="B7" s="66" t="s">
        <v>37</v>
      </c>
      <c r="C7" s="66" t="s">
        <v>10</v>
      </c>
      <c r="D7" s="66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7"/>
      <c r="Q7" s="67"/>
      <c r="R7" s="67"/>
      <c r="S7" s="67"/>
      <c r="T7" s="67"/>
      <c r="U7" s="67"/>
      <c r="V7" s="67"/>
    </row>
    <row r="8" spans="1:23" s="66" customFormat="1" hidden="1" x14ac:dyDescent="0.35">
      <c r="A8" s="66">
        <v>7</v>
      </c>
      <c r="B8" s="66" t="s">
        <v>38</v>
      </c>
      <c r="C8" s="66" t="s">
        <v>10</v>
      </c>
      <c r="D8" s="66">
        <v>37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7"/>
      <c r="Q8" s="67"/>
      <c r="R8" s="67"/>
      <c r="S8" s="67"/>
      <c r="T8" s="67"/>
      <c r="U8" s="67"/>
      <c r="V8" s="67"/>
    </row>
    <row r="9" spans="1:23" s="66" customFormat="1" hidden="1" x14ac:dyDescent="0.35">
      <c r="A9" s="66">
        <v>8</v>
      </c>
      <c r="B9" s="66" t="s">
        <v>39</v>
      </c>
      <c r="C9" s="66" t="s">
        <v>10</v>
      </c>
      <c r="D9" s="66">
        <v>44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7"/>
      <c r="Q9" s="67"/>
      <c r="R9" s="67"/>
      <c r="S9" s="67"/>
      <c r="T9" s="67"/>
      <c r="U9" s="67"/>
      <c r="V9" s="67"/>
    </row>
    <row r="10" spans="1:23" s="66" customFormat="1" hidden="1" x14ac:dyDescent="0.35">
      <c r="A10" s="66">
        <v>9</v>
      </c>
      <c r="B10" s="66" t="s">
        <v>40</v>
      </c>
      <c r="C10" s="66" t="s">
        <v>10</v>
      </c>
      <c r="D10" s="66">
        <v>29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7"/>
      <c r="Q10" s="67"/>
      <c r="R10" s="67"/>
      <c r="S10" s="67"/>
      <c r="T10" s="67"/>
      <c r="U10" s="67"/>
      <c r="V10" s="67"/>
    </row>
    <row r="11" spans="1:23" s="66" customFormat="1" hidden="1" x14ac:dyDescent="0.35">
      <c r="A11" s="66">
        <v>10</v>
      </c>
      <c r="B11" s="66" t="s">
        <v>41</v>
      </c>
      <c r="C11" s="66" t="s">
        <v>10</v>
      </c>
      <c r="D11" s="66">
        <v>40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7"/>
      <c r="Q11" s="67"/>
      <c r="R11" s="67"/>
      <c r="S11" s="67"/>
      <c r="T11" s="67"/>
      <c r="U11" s="67"/>
      <c r="V11" s="67"/>
    </row>
    <row r="12" spans="1:23" x14ac:dyDescent="0.35">
      <c r="A12" s="51">
        <v>11</v>
      </c>
      <c r="B12" s="51" t="s">
        <v>42</v>
      </c>
      <c r="C12" s="51" t="s">
        <v>7</v>
      </c>
      <c r="D12" s="51">
        <v>42</v>
      </c>
      <c r="E12" s="51">
        <v>97.6593252108716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3" x14ac:dyDescent="0.35">
      <c r="A13" s="51">
        <v>12</v>
      </c>
      <c r="B13" s="51" t="s">
        <v>43</v>
      </c>
      <c r="C13" s="51" t="s">
        <v>7</v>
      </c>
      <c r="D13" s="51">
        <v>33</v>
      </c>
      <c r="E13" s="51">
        <v>99.902764761012193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3" x14ac:dyDescent="0.35">
      <c r="A14" s="51">
        <v>13</v>
      </c>
      <c r="B14" s="51" t="s">
        <v>45</v>
      </c>
      <c r="C14" s="51" t="s">
        <v>7</v>
      </c>
      <c r="D14" s="51">
        <v>19</v>
      </c>
      <c r="E14" s="51">
        <v>208.93784786641928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3" x14ac:dyDescent="0.35">
      <c r="A15" s="51">
        <v>14</v>
      </c>
      <c r="B15" s="51" t="s">
        <v>46</v>
      </c>
      <c r="C15" s="51" t="s">
        <v>7</v>
      </c>
      <c r="D15" s="51">
        <v>42</v>
      </c>
      <c r="E15" s="51">
        <v>113.00834970530451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3" x14ac:dyDescent="0.35">
      <c r="A16" s="51">
        <v>15</v>
      </c>
      <c r="B16" s="51" t="s">
        <v>47</v>
      </c>
      <c r="C16" s="51" t="s">
        <v>7</v>
      </c>
      <c r="D16" s="51">
        <v>14</v>
      </c>
      <c r="E16" s="51">
        <v>136.06558641975309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2" s="66" customFormat="1" hidden="1" x14ac:dyDescent="0.35">
      <c r="A17" s="66">
        <v>16</v>
      </c>
      <c r="B17" s="66" t="s">
        <v>48</v>
      </c>
      <c r="C17" s="66" t="s">
        <v>7</v>
      </c>
      <c r="D17" s="66">
        <v>18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7"/>
      <c r="Q17" s="67"/>
      <c r="R17" s="67"/>
      <c r="S17" s="67"/>
      <c r="T17" s="67"/>
      <c r="U17" s="67"/>
      <c r="V17" s="67"/>
    </row>
    <row r="18" spans="1:22" s="66" customFormat="1" hidden="1" x14ac:dyDescent="0.35">
      <c r="A18" s="66">
        <v>17</v>
      </c>
      <c r="B18" s="66" t="s">
        <v>49</v>
      </c>
      <c r="C18" s="66" t="s">
        <v>7</v>
      </c>
      <c r="D18" s="66">
        <v>19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7"/>
      <c r="Q18" s="67"/>
      <c r="R18" s="67"/>
      <c r="S18" s="67"/>
      <c r="T18" s="67"/>
      <c r="U18" s="67"/>
      <c r="V18" s="67"/>
    </row>
    <row r="19" spans="1:22" s="66" customFormat="1" hidden="1" x14ac:dyDescent="0.35">
      <c r="A19" s="66">
        <v>18</v>
      </c>
      <c r="B19" s="66" t="s">
        <v>50</v>
      </c>
      <c r="C19" s="66" t="s">
        <v>7</v>
      </c>
      <c r="D19" s="66">
        <v>32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7"/>
      <c r="Q19" s="67"/>
      <c r="R19" s="67"/>
      <c r="S19" s="67"/>
      <c r="T19" s="67"/>
      <c r="U19" s="67"/>
      <c r="V19" s="67"/>
    </row>
    <row r="20" spans="1:22" s="66" customFormat="1" hidden="1" x14ac:dyDescent="0.35">
      <c r="A20" s="66">
        <v>19</v>
      </c>
      <c r="B20" s="66" t="s">
        <v>51</v>
      </c>
      <c r="C20" s="66" t="s">
        <v>7</v>
      </c>
      <c r="D20" s="66">
        <v>34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7"/>
      <c r="Q20" s="67"/>
      <c r="R20" s="67"/>
      <c r="S20" s="67"/>
      <c r="T20" s="67"/>
      <c r="U20" s="67"/>
      <c r="V20" s="67"/>
    </row>
    <row r="21" spans="1:22" s="66" customFormat="1" hidden="1" x14ac:dyDescent="0.35">
      <c r="A21" s="66">
        <v>20</v>
      </c>
      <c r="B21" s="66" t="s">
        <v>53</v>
      </c>
      <c r="C21" s="66" t="s">
        <v>7</v>
      </c>
      <c r="D21" s="66">
        <v>31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7"/>
      <c r="Q21" s="67"/>
      <c r="R21" s="67"/>
      <c r="S21" s="67"/>
      <c r="T21" s="67"/>
      <c r="U21" s="67"/>
      <c r="V21" s="67"/>
    </row>
    <row r="22" spans="1:22" x14ac:dyDescent="0.35">
      <c r="A22" s="51">
        <v>21</v>
      </c>
      <c r="B22" s="51" t="s">
        <v>52</v>
      </c>
      <c r="C22" s="51" t="s">
        <v>4</v>
      </c>
      <c r="D22" s="51">
        <v>11</v>
      </c>
      <c r="E22" s="51">
        <v>87.658846529814255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2" x14ac:dyDescent="0.35">
      <c r="A23" s="51">
        <v>22</v>
      </c>
      <c r="B23" s="51" t="s">
        <v>44</v>
      </c>
      <c r="C23" s="51" t="s">
        <v>4</v>
      </c>
      <c r="D23" s="51">
        <v>32</v>
      </c>
      <c r="E23" s="51">
        <v>108.73736138290931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2" x14ac:dyDescent="0.35">
      <c r="A24" s="51">
        <v>23</v>
      </c>
      <c r="B24" s="51" t="s">
        <v>54</v>
      </c>
      <c r="C24" s="51" t="s">
        <v>4</v>
      </c>
      <c r="D24" s="51">
        <v>32</v>
      </c>
      <c r="E24" s="51">
        <v>94.729518449030664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 spans="1:22" x14ac:dyDescent="0.35">
      <c r="A25" s="51">
        <v>24</v>
      </c>
      <c r="B25" s="51" t="s">
        <v>55</v>
      </c>
      <c r="C25" s="51" t="s">
        <v>4</v>
      </c>
      <c r="D25" s="51">
        <v>15</v>
      </c>
      <c r="E25" s="51">
        <v>114.52141744548285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 spans="1:22" x14ac:dyDescent="0.35">
      <c r="A26" s="51">
        <v>25</v>
      </c>
      <c r="B26" s="51" t="s">
        <v>56</v>
      </c>
      <c r="C26" s="51" t="s">
        <v>4</v>
      </c>
      <c r="D26" s="51">
        <v>31</v>
      </c>
      <c r="E26" s="51">
        <v>96.157311157311142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spans="1:22" s="66" customFormat="1" hidden="1" x14ac:dyDescent="0.35">
      <c r="A27" s="66">
        <v>26</v>
      </c>
      <c r="B27" s="66" t="s">
        <v>57</v>
      </c>
      <c r="C27" s="66" t="s">
        <v>4</v>
      </c>
      <c r="D27" s="66">
        <v>16</v>
      </c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7"/>
      <c r="Q27" s="67"/>
      <c r="R27" s="67"/>
      <c r="S27" s="67"/>
      <c r="T27" s="67"/>
      <c r="U27" s="67"/>
      <c r="V27" s="67"/>
    </row>
    <row r="28" spans="1:22" s="66" customFormat="1" hidden="1" x14ac:dyDescent="0.35">
      <c r="A28" s="66">
        <v>27</v>
      </c>
      <c r="B28" s="66" t="s">
        <v>58</v>
      </c>
      <c r="C28" s="66" t="s">
        <v>4</v>
      </c>
      <c r="D28" s="66">
        <v>19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7"/>
      <c r="Q28" s="67"/>
      <c r="R28" s="67"/>
      <c r="S28" s="67"/>
      <c r="T28" s="67"/>
      <c r="U28" s="67"/>
      <c r="V28" s="67"/>
    </row>
    <row r="29" spans="1:22" s="66" customFormat="1" hidden="1" x14ac:dyDescent="0.35">
      <c r="A29" s="66">
        <v>28</v>
      </c>
      <c r="B29" s="66" t="s">
        <v>59</v>
      </c>
      <c r="C29" s="66" t="s">
        <v>4</v>
      </c>
      <c r="D29" s="66">
        <v>30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7"/>
      <c r="Q29" s="67"/>
      <c r="R29" s="67"/>
      <c r="S29" s="67"/>
      <c r="T29" s="67"/>
      <c r="U29" s="67"/>
      <c r="V29" s="67"/>
    </row>
    <row r="30" spans="1:22" s="66" customFormat="1" hidden="1" x14ac:dyDescent="0.35">
      <c r="A30" s="66">
        <v>29</v>
      </c>
      <c r="B30" s="66" t="s">
        <v>60</v>
      </c>
      <c r="C30" s="66" t="s">
        <v>4</v>
      </c>
      <c r="D30" s="66">
        <v>60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7"/>
      <c r="Q30" s="67"/>
      <c r="R30" s="67"/>
      <c r="S30" s="67"/>
      <c r="T30" s="67"/>
      <c r="U30" s="67"/>
      <c r="V30" s="67"/>
    </row>
    <row r="31" spans="1:22" s="66" customFormat="1" hidden="1" x14ac:dyDescent="0.35">
      <c r="A31" s="66">
        <v>30</v>
      </c>
      <c r="B31" s="66" t="s">
        <v>61</v>
      </c>
      <c r="C31" s="66" t="s">
        <v>4</v>
      </c>
      <c r="D31" s="66">
        <v>27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7"/>
      <c r="Q31" s="67"/>
      <c r="R31" s="67"/>
      <c r="S31" s="67"/>
      <c r="T31" s="67"/>
      <c r="U31" s="67"/>
      <c r="V31" s="67"/>
    </row>
    <row r="32" spans="1:22" x14ac:dyDescent="0.35">
      <c r="A32" s="51">
        <v>31</v>
      </c>
      <c r="B32" s="51" t="s">
        <v>62</v>
      </c>
      <c r="C32" s="51" t="s">
        <v>3</v>
      </c>
      <c r="D32" s="51">
        <v>28</v>
      </c>
      <c r="E32" s="51">
        <v>97.6349822179114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 spans="1:22" x14ac:dyDescent="0.35">
      <c r="A33" s="51">
        <v>32</v>
      </c>
      <c r="B33" s="51" t="s">
        <v>63</v>
      </c>
      <c r="C33" s="51" t="s">
        <v>3</v>
      </c>
      <c r="D33" s="51">
        <v>13</v>
      </c>
      <c r="E33" s="51">
        <v>62.87703908895044</v>
      </c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 spans="1:22" x14ac:dyDescent="0.35">
      <c r="A34" s="51">
        <v>33</v>
      </c>
      <c r="B34" s="51" t="s">
        <v>64</v>
      </c>
      <c r="C34" s="51" t="s">
        <v>3</v>
      </c>
      <c r="D34" s="51">
        <v>23</v>
      </c>
      <c r="E34" s="51">
        <v>103.20228821811101</v>
      </c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 spans="1:22" x14ac:dyDescent="0.35">
      <c r="A35" s="51">
        <v>34</v>
      </c>
      <c r="B35" s="51" t="s">
        <v>65</v>
      </c>
      <c r="C35" s="51" t="s">
        <v>3</v>
      </c>
      <c r="D35" s="51">
        <v>15</v>
      </c>
      <c r="E35" s="51">
        <v>105.88170322973797</v>
      </c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 spans="1:22" x14ac:dyDescent="0.35">
      <c r="A36" s="51">
        <v>35</v>
      </c>
      <c r="B36" s="51" t="s">
        <v>66</v>
      </c>
      <c r="C36" s="51" t="s">
        <v>3</v>
      </c>
      <c r="D36" s="51">
        <v>34</v>
      </c>
      <c r="E36" s="51">
        <v>60.908463287849258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 spans="1:22" s="66" customFormat="1" hidden="1" x14ac:dyDescent="0.35">
      <c r="A37" s="66">
        <v>36</v>
      </c>
      <c r="B37" s="66" t="s">
        <v>67</v>
      </c>
      <c r="C37" s="66" t="s">
        <v>3</v>
      </c>
      <c r="D37" s="66">
        <v>19</v>
      </c>
      <c r="E37" s="67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</row>
    <row r="38" spans="1:22" s="66" customFormat="1" hidden="1" x14ac:dyDescent="0.35">
      <c r="A38" s="66">
        <v>37</v>
      </c>
      <c r="B38" s="66" t="s">
        <v>68</v>
      </c>
      <c r="C38" s="66" t="s">
        <v>3</v>
      </c>
      <c r="D38" s="66">
        <v>27</v>
      </c>
      <c r="E38" s="67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7"/>
      <c r="Q38" s="67"/>
      <c r="R38" s="67"/>
      <c r="S38" s="67"/>
      <c r="T38" s="67"/>
      <c r="U38" s="67"/>
      <c r="V38" s="67"/>
    </row>
    <row r="39" spans="1:22" s="66" customFormat="1" hidden="1" x14ac:dyDescent="0.35">
      <c r="A39" s="66">
        <v>38</v>
      </c>
      <c r="B39" s="66" t="s">
        <v>69</v>
      </c>
      <c r="C39" s="66" t="s">
        <v>3</v>
      </c>
      <c r="D39" s="66">
        <v>52</v>
      </c>
      <c r="E39" s="67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7"/>
      <c r="Q39" s="67"/>
      <c r="R39" s="67"/>
      <c r="S39" s="67"/>
      <c r="T39" s="67"/>
      <c r="U39" s="67"/>
      <c r="V39" s="67"/>
    </row>
    <row r="40" spans="1:22" s="66" customFormat="1" hidden="1" x14ac:dyDescent="0.35">
      <c r="A40" s="66">
        <v>39</v>
      </c>
      <c r="B40" s="66" t="s">
        <v>70</v>
      </c>
      <c r="C40" s="66" t="s">
        <v>3</v>
      </c>
      <c r="D40" s="66">
        <v>66</v>
      </c>
      <c r="E40" s="67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7"/>
      <c r="Q40" s="67"/>
      <c r="R40" s="67"/>
      <c r="S40" s="67"/>
      <c r="T40" s="67"/>
      <c r="U40" s="67"/>
      <c r="V40" s="67"/>
    </row>
    <row r="41" spans="1:22" s="66" customFormat="1" hidden="1" x14ac:dyDescent="0.35">
      <c r="A41" s="66">
        <v>40</v>
      </c>
      <c r="B41" s="66" t="s">
        <v>71</v>
      </c>
      <c r="C41" s="66" t="s">
        <v>3</v>
      </c>
      <c r="D41" s="66">
        <v>34</v>
      </c>
      <c r="E41" s="67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7"/>
      <c r="Q41" s="67"/>
      <c r="R41" s="67"/>
      <c r="S41" s="67"/>
      <c r="T41" s="67"/>
      <c r="U41" s="67"/>
      <c r="V41" s="6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4" sqref="E4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91"/>
  <sheetViews>
    <sheetView topLeftCell="J24" zoomScale="70" zoomScaleNormal="70" workbookViewId="0">
      <selection activeCell="R2" sqref="R2:R41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60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135</v>
      </c>
      <c r="D1" s="7" t="s">
        <v>72</v>
      </c>
      <c r="E1" s="7" t="s">
        <v>80</v>
      </c>
      <c r="F1" s="7" t="s">
        <v>75</v>
      </c>
      <c r="G1" s="7" t="s">
        <v>73</v>
      </c>
      <c r="H1" s="7" t="s">
        <v>74</v>
      </c>
      <c r="I1" s="7" t="s">
        <v>76</v>
      </c>
      <c r="J1" s="7" t="s">
        <v>77</v>
      </c>
      <c r="K1" s="7" t="s">
        <v>81</v>
      </c>
      <c r="L1" s="7" t="s">
        <v>136</v>
      </c>
      <c r="M1" s="7" t="s">
        <v>137</v>
      </c>
      <c r="N1" s="7" t="s">
        <v>111</v>
      </c>
      <c r="O1" s="7" t="s">
        <v>138</v>
      </c>
      <c r="P1" s="58" t="s">
        <v>137</v>
      </c>
      <c r="Q1" s="7" t="s">
        <v>112</v>
      </c>
      <c r="R1" s="7" t="s">
        <v>139</v>
      </c>
      <c r="S1" s="7" t="s">
        <v>97</v>
      </c>
      <c r="T1" s="7" t="s">
        <v>98</v>
      </c>
    </row>
    <row r="2" spans="1:23" x14ac:dyDescent="0.35">
      <c r="A2" t="s">
        <v>32</v>
      </c>
      <c r="B2" t="s">
        <v>10</v>
      </c>
      <c r="C2">
        <v>1</v>
      </c>
      <c r="D2" t="s">
        <v>78</v>
      </c>
      <c r="E2">
        <v>108.5</v>
      </c>
      <c r="F2">
        <v>1</v>
      </c>
      <c r="G2">
        <v>0.16300000000000001</v>
      </c>
      <c r="H2">
        <v>9.8000000000000004E-2</v>
      </c>
      <c r="I2" s="43">
        <f>G2/0.6</f>
        <v>0.27166666666666667</v>
      </c>
      <c r="J2" s="43">
        <f>H2/0.6</f>
        <v>0.16333333333333336</v>
      </c>
      <c r="K2" s="5">
        <f>(11.43*I2) + (-0.64*J2)</f>
        <v>3.0006166666666667</v>
      </c>
      <c r="L2" s="29">
        <f>AVERAGE(K2:K3)</f>
        <v>5.5617833333333326</v>
      </c>
      <c r="M2" s="50">
        <f>(_xlfn.STDEV.S(K2:K3)/SQRT(2))/L2</f>
        <v>0.46049378646537242</v>
      </c>
      <c r="N2" s="5">
        <f>(27.09*J2) + (-3.63*I2)</f>
        <v>3.4385500000000007</v>
      </c>
      <c r="O2" s="29">
        <f>AVERAGE(N2:N3)</f>
        <v>5.470675</v>
      </c>
      <c r="P2" s="50">
        <f>(_xlfn.STDEV.S(N2:N3)/SQRT(2))/O2</f>
        <v>0.37145781827653807</v>
      </c>
      <c r="Q2" s="61">
        <f>L2+O2</f>
        <v>11.032458333333333</v>
      </c>
      <c r="R2" s="29">
        <f>Q2*(F2/E2)*1000</f>
        <v>101.68164362519201</v>
      </c>
      <c r="S2" s="29">
        <f>AVERAGE(R2:R11)</f>
        <v>110.55847237195535</v>
      </c>
      <c r="T2" s="32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79</v>
      </c>
      <c r="E3">
        <v>102.5</v>
      </c>
      <c r="F3">
        <v>1</v>
      </c>
      <c r="G3">
        <v>0.439</v>
      </c>
      <c r="H3">
        <v>0.22500000000000001</v>
      </c>
      <c r="I3" s="43">
        <f>G3/0.6</f>
        <v>0.73166666666666669</v>
      </c>
      <c r="J3" s="43">
        <f>H3/0.6</f>
        <v>0.375</v>
      </c>
      <c r="K3" s="5">
        <f t="shared" ref="K3:K66" si="0">(11.43*I3) + (-0.64*J3)</f>
        <v>8.1229499999999994</v>
      </c>
      <c r="L3" s="30"/>
      <c r="M3" s="50"/>
      <c r="N3" s="5">
        <f t="shared" ref="N3:N41" si="1">(27.09*J3) + (-3.63*I3)</f>
        <v>7.5027999999999997</v>
      </c>
      <c r="O3" s="30"/>
      <c r="P3" s="50"/>
      <c r="Q3" s="61"/>
      <c r="R3" s="29"/>
      <c r="S3" s="30"/>
      <c r="T3" s="32"/>
      <c r="V3" s="1" t="s">
        <v>13</v>
      </c>
      <c r="W3" t="s">
        <v>140</v>
      </c>
    </row>
    <row r="4" spans="1:23" x14ac:dyDescent="0.35">
      <c r="A4" t="s">
        <v>33</v>
      </c>
      <c r="B4" t="s">
        <v>10</v>
      </c>
      <c r="C4">
        <v>1</v>
      </c>
      <c r="D4" t="s">
        <v>78</v>
      </c>
      <c r="E4">
        <v>102.5</v>
      </c>
      <c r="F4">
        <v>1</v>
      </c>
      <c r="G4">
        <v>0.20899999999999999</v>
      </c>
      <c r="H4">
        <v>0.152</v>
      </c>
      <c r="I4" s="43">
        <f>G4/0.6</f>
        <v>0.34833333333333333</v>
      </c>
      <c r="J4" s="43">
        <f>H4/0.6</f>
        <v>0.25333333333333335</v>
      </c>
      <c r="K4" s="5">
        <f t="shared" si="0"/>
        <v>3.8193166666666665</v>
      </c>
      <c r="L4" s="29">
        <f t="shared" ref="L4" si="2">AVERAGE(K4:K5)</f>
        <v>2.76905</v>
      </c>
      <c r="M4" s="50">
        <f t="shared" ref="M4" si="3">(_xlfn.STDEV.S(K4:K5)/SQRT(2))/L4</f>
        <v>0.37928772202259475</v>
      </c>
      <c r="N4" s="5">
        <f t="shared" si="1"/>
        <v>5.5983500000000008</v>
      </c>
      <c r="O4" s="29">
        <f t="shared" ref="O4" si="4">AVERAGE(N4:N5)</f>
        <v>5.2373250000000002</v>
      </c>
      <c r="P4" s="59">
        <f t="shared" ref="P4" si="5">(_xlfn.STDEV.S(N4:N5)/SQRT(2))/O4</f>
        <v>6.8933090843130901E-2</v>
      </c>
      <c r="Q4" s="61">
        <f t="shared" ref="Q4:Q41" si="6">L4+O4</f>
        <v>8.0063750000000002</v>
      </c>
      <c r="R4" s="29">
        <f t="shared" ref="R4" si="7">Q4*(F4/E4)*1000</f>
        <v>78.11097560975611</v>
      </c>
      <c r="S4" s="30"/>
      <c r="T4" s="32"/>
      <c r="V4" s="2" t="s">
        <v>10</v>
      </c>
      <c r="W4" s="62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79</v>
      </c>
      <c r="E5">
        <v>109.9</v>
      </c>
      <c r="F5">
        <v>1</v>
      </c>
      <c r="G5">
        <v>9.7000000000000003E-2</v>
      </c>
      <c r="H5">
        <v>0.121</v>
      </c>
      <c r="I5" s="43">
        <f>G5/0.6</f>
        <v>0.16166666666666668</v>
      </c>
      <c r="J5" s="43">
        <f>H5/0.6</f>
        <v>0.20166666666666666</v>
      </c>
      <c r="K5" s="5">
        <f t="shared" si="0"/>
        <v>1.7187833333333336</v>
      </c>
      <c r="L5" s="30"/>
      <c r="M5" s="50"/>
      <c r="N5" s="5">
        <f t="shared" si="1"/>
        <v>4.8762999999999996</v>
      </c>
      <c r="O5" s="30"/>
      <c r="P5" s="59"/>
      <c r="Q5" s="61"/>
      <c r="R5" s="29"/>
      <c r="S5" s="30"/>
      <c r="T5" s="32"/>
      <c r="V5" s="2" t="s">
        <v>3</v>
      </c>
      <c r="W5" s="62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78</v>
      </c>
      <c r="E6">
        <v>98.2</v>
      </c>
      <c r="F6">
        <v>1</v>
      </c>
      <c r="G6">
        <v>0.2</v>
      </c>
      <c r="H6">
        <v>0.13</v>
      </c>
      <c r="I6" s="43">
        <f>G6/0.6</f>
        <v>0.33333333333333337</v>
      </c>
      <c r="J6" s="43">
        <f>H6/0.6</f>
        <v>0.21666666666666667</v>
      </c>
      <c r="K6" s="5">
        <f t="shared" si="0"/>
        <v>3.671333333333334</v>
      </c>
      <c r="L6" s="29">
        <f t="shared" ref="L6" si="8">AVERAGE(K6:K7)</f>
        <v>5.9622916666666672</v>
      </c>
      <c r="M6" s="50">
        <f t="shared" ref="M6" si="9">(_xlfn.STDEV.S(K6:K7)/SQRT(2))/L6</f>
        <v>0.38424123833816654</v>
      </c>
      <c r="N6" s="5">
        <f t="shared" si="1"/>
        <v>4.6595000000000004</v>
      </c>
      <c r="O6" s="29">
        <f t="shared" ref="O6" si="10">AVERAGE(N6:N7)</f>
        <v>5.7243750000000002</v>
      </c>
      <c r="P6" s="59">
        <f t="shared" ref="P6" si="11">(_xlfn.STDEV.S(N6:N7)/SQRT(2))/O6</f>
        <v>0.18602467518287988</v>
      </c>
      <c r="Q6" s="61">
        <f t="shared" ref="Q6:Q41" si="12">L6+O6</f>
        <v>11.686666666666667</v>
      </c>
      <c r="R6" s="29">
        <f t="shared" ref="R6" si="13">Q6*(F6/E6)*1000</f>
        <v>119.00882552613714</v>
      </c>
      <c r="S6" s="30"/>
      <c r="T6" s="32"/>
      <c r="V6" s="2" t="s">
        <v>7</v>
      </c>
      <c r="W6" s="62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79</v>
      </c>
      <c r="E7">
        <v>106.4</v>
      </c>
      <c r="F7">
        <v>1</v>
      </c>
      <c r="G7">
        <v>0.44500000000000001</v>
      </c>
      <c r="H7">
        <v>0.21</v>
      </c>
      <c r="I7" s="43">
        <f>G7/0.6</f>
        <v>0.7416666666666667</v>
      </c>
      <c r="J7" s="43">
        <f>H7/0.6</f>
        <v>0.35</v>
      </c>
      <c r="K7" s="5">
        <f t="shared" si="0"/>
        <v>8.2532499999999995</v>
      </c>
      <c r="L7" s="30"/>
      <c r="M7" s="50"/>
      <c r="N7" s="5">
        <f t="shared" si="1"/>
        <v>6.7892499999999991</v>
      </c>
      <c r="O7" s="30"/>
      <c r="P7" s="59"/>
      <c r="Q7" s="61"/>
      <c r="R7" s="29"/>
      <c r="S7" s="30"/>
      <c r="T7" s="32"/>
      <c r="V7" s="2" t="s">
        <v>4</v>
      </c>
      <c r="W7" s="62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78</v>
      </c>
      <c r="E8">
        <v>86.9</v>
      </c>
      <c r="F8">
        <v>0.9</v>
      </c>
      <c r="G8">
        <v>0.27200000000000002</v>
      </c>
      <c r="H8">
        <v>0.159</v>
      </c>
      <c r="I8" s="43">
        <f>G8/0.6</f>
        <v>0.45333333333333337</v>
      </c>
      <c r="J8" s="43">
        <f>H8/0.6</f>
        <v>0.26500000000000001</v>
      </c>
      <c r="K8" s="5">
        <f t="shared" si="0"/>
        <v>5.0120000000000005</v>
      </c>
      <c r="L8" s="29">
        <f t="shared" ref="L8" si="14">AVERAGE(K8:K9)</f>
        <v>4.6798416666666665</v>
      </c>
      <c r="M8" s="32">
        <f t="shared" ref="M8" si="15">(_xlfn.STDEV.S(K8:K9)/SQRT(2))/L8</f>
        <v>7.097640411623618E-2</v>
      </c>
      <c r="N8" s="5">
        <f t="shared" si="1"/>
        <v>5.5332500000000007</v>
      </c>
      <c r="O8" s="29">
        <f t="shared" ref="O8" si="16">AVERAGE(N8:N9)</f>
        <v>4.7873250000000001</v>
      </c>
      <c r="P8" s="59">
        <f t="shared" ref="P8" si="17">(_xlfn.STDEV.S(N8:N9)/SQRT(2))/O8</f>
        <v>0.15581248400724867</v>
      </c>
      <c r="Q8" s="61">
        <f t="shared" ref="Q8:Q41" si="18">L8+O8</f>
        <v>9.4671666666666674</v>
      </c>
      <c r="R8" s="29">
        <f t="shared" ref="R8" si="19">Q8*(F8/E8)*1000</f>
        <v>98.048906789413124</v>
      </c>
      <c r="S8" s="30"/>
      <c r="T8" s="32"/>
      <c r="V8" s="2" t="s">
        <v>14</v>
      </c>
      <c r="W8" s="62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79</v>
      </c>
      <c r="E9">
        <v>93</v>
      </c>
      <c r="F9">
        <v>1</v>
      </c>
      <c r="G9">
        <v>0.23499999999999999</v>
      </c>
      <c r="H9">
        <v>0.121</v>
      </c>
      <c r="I9" s="43">
        <f>G9/0.6</f>
        <v>0.39166666666666666</v>
      </c>
      <c r="J9" s="43">
        <f>H9/0.6</f>
        <v>0.20166666666666666</v>
      </c>
      <c r="K9" s="5">
        <f t="shared" si="0"/>
        <v>4.3476833333333333</v>
      </c>
      <c r="L9" s="30"/>
      <c r="M9" s="32"/>
      <c r="N9" s="5">
        <f t="shared" si="1"/>
        <v>4.0413999999999994</v>
      </c>
      <c r="O9" s="30"/>
      <c r="P9" s="59"/>
      <c r="Q9" s="61"/>
      <c r="R9" s="29"/>
      <c r="S9" s="30"/>
      <c r="T9" s="32"/>
    </row>
    <row r="10" spans="1:23" x14ac:dyDescent="0.35">
      <c r="A10" t="s">
        <v>36</v>
      </c>
      <c r="B10" t="s">
        <v>10</v>
      </c>
      <c r="C10">
        <v>1</v>
      </c>
      <c r="D10" t="s">
        <v>78</v>
      </c>
      <c r="E10">
        <v>97</v>
      </c>
      <c r="F10">
        <v>1</v>
      </c>
      <c r="G10">
        <v>0.48399999999999999</v>
      </c>
      <c r="H10">
        <v>0.25</v>
      </c>
      <c r="I10" s="43">
        <f>G10/0.6</f>
        <v>0.80666666666666664</v>
      </c>
      <c r="J10" s="43">
        <f>H10/0.6</f>
        <v>0.41666666666666669</v>
      </c>
      <c r="K10" s="5">
        <f t="shared" si="0"/>
        <v>8.9535333333333327</v>
      </c>
      <c r="L10" s="29">
        <f t="shared" ref="L10" si="20">AVERAGE(K10:K11)</f>
        <v>7.292675</v>
      </c>
      <c r="M10" s="50">
        <f t="shared" ref="M10" si="21">(_xlfn.STDEV.S(K10:K11)/SQRT(2))/L10</f>
        <v>0.22774336348916344</v>
      </c>
      <c r="N10" s="5">
        <f t="shared" si="1"/>
        <v>8.3592999999999993</v>
      </c>
      <c r="O10" s="29">
        <f t="shared" ref="O10" si="22">AVERAGE(N10:N11)</f>
        <v>7.8337000000000003</v>
      </c>
      <c r="P10" s="59">
        <f t="shared" ref="P10" si="23">(_xlfn.STDEV.S(N10:N11)/SQRT(2))/O10</f>
        <v>6.7094731735961158E-2</v>
      </c>
      <c r="Q10" s="61">
        <f t="shared" ref="Q10:Q41" si="24">L10+O10</f>
        <v>15.126374999999999</v>
      </c>
      <c r="R10" s="29">
        <f t="shared" ref="R10" si="25">Q10*(F10/E10)*1000</f>
        <v>155.94201030927834</v>
      </c>
      <c r="S10" s="30"/>
      <c r="T10" s="32"/>
    </row>
    <row r="11" spans="1:23" x14ac:dyDescent="0.35">
      <c r="A11" t="s">
        <v>36</v>
      </c>
      <c r="B11" t="s">
        <v>10</v>
      </c>
      <c r="C11">
        <v>1</v>
      </c>
      <c r="D11" t="s">
        <v>79</v>
      </c>
      <c r="E11">
        <v>99.7</v>
      </c>
      <c r="F11">
        <v>1</v>
      </c>
      <c r="G11">
        <v>0.307</v>
      </c>
      <c r="H11">
        <v>0.20300000000000001</v>
      </c>
      <c r="I11" s="43">
        <f>G11/0.6</f>
        <v>0.51166666666666671</v>
      </c>
      <c r="J11" s="43">
        <f>H11/0.6</f>
        <v>0.33833333333333337</v>
      </c>
      <c r="K11" s="5">
        <f t="shared" si="0"/>
        <v>5.6318166666666674</v>
      </c>
      <c r="L11" s="30"/>
      <c r="M11" s="50"/>
      <c r="N11" s="5">
        <f t="shared" si="1"/>
        <v>7.3081000000000014</v>
      </c>
      <c r="O11" s="30"/>
      <c r="P11" s="59"/>
      <c r="Q11" s="61"/>
      <c r="R11" s="29"/>
      <c r="S11" s="30"/>
      <c r="T11" s="32"/>
    </row>
    <row r="12" spans="1:23" x14ac:dyDescent="0.35">
      <c r="A12" t="s">
        <v>42</v>
      </c>
      <c r="B12" t="s">
        <v>7</v>
      </c>
      <c r="C12">
        <v>1</v>
      </c>
      <c r="D12" t="s">
        <v>78</v>
      </c>
      <c r="E12">
        <v>106.7</v>
      </c>
      <c r="F12">
        <v>1</v>
      </c>
      <c r="G12">
        <v>0.14000000000000001</v>
      </c>
      <c r="H12">
        <v>0.20499999999999999</v>
      </c>
      <c r="I12" s="43">
        <f>G12/0.6</f>
        <v>0.23333333333333336</v>
      </c>
      <c r="J12" s="43">
        <f>H12/0.6</f>
        <v>0.34166666666666667</v>
      </c>
      <c r="K12" s="5">
        <f t="shared" si="0"/>
        <v>2.4483333333333337</v>
      </c>
      <c r="L12" s="29">
        <f t="shared" ref="L12" si="26">AVERAGE(K12:K13)</f>
        <v>3.2528500000000005</v>
      </c>
      <c r="M12" s="50">
        <f t="shared" ref="M12" si="27">(_xlfn.STDEV.S(K12:K13)/SQRT(2))/L12</f>
        <v>0.24732670324997019</v>
      </c>
      <c r="N12" s="5">
        <f t="shared" si="1"/>
        <v>8.4087500000000013</v>
      </c>
      <c r="O12" s="29">
        <f t="shared" ref="O12" si="28">AVERAGE(N12:N13)</f>
        <v>7.1674000000000007</v>
      </c>
      <c r="P12" s="59">
        <f t="shared" ref="P12" si="29">(_xlfn.STDEV.S(N12:N13)/SQRT(2))/O12</f>
        <v>0.17319390573987833</v>
      </c>
      <c r="Q12" s="61">
        <f t="shared" ref="Q12:Q41" si="30">L12+O12</f>
        <v>10.420250000000001</v>
      </c>
      <c r="R12" s="29">
        <f t="shared" ref="R12" si="31">Q12*(F12/E12)*1000</f>
        <v>97.6593252108716</v>
      </c>
      <c r="S12" s="29">
        <f>AVERAGE(R12:R15,R18:R21)</f>
        <v>111.65900652423534</v>
      </c>
      <c r="T12" s="32">
        <f>(_xlfn.STDEV.S(R12:R15,R18:R21)/SQRT(4))/S12</f>
        <v>7.8914020481816338E-2</v>
      </c>
    </row>
    <row r="13" spans="1:23" x14ac:dyDescent="0.35">
      <c r="A13" t="s">
        <v>42</v>
      </c>
      <c r="B13" t="s">
        <v>7</v>
      </c>
      <c r="C13">
        <v>1</v>
      </c>
      <c r="D13" t="s">
        <v>79</v>
      </c>
      <c r="E13">
        <v>102</v>
      </c>
      <c r="F13">
        <v>1</v>
      </c>
      <c r="G13">
        <v>0.222</v>
      </c>
      <c r="H13">
        <v>0.161</v>
      </c>
      <c r="I13" s="43">
        <f>G13/0.6</f>
        <v>0.37</v>
      </c>
      <c r="J13" s="43">
        <f>H13/0.6</f>
        <v>0.26833333333333337</v>
      </c>
      <c r="K13" s="5">
        <f t="shared" si="0"/>
        <v>4.0573666666666668</v>
      </c>
      <c r="L13" s="30"/>
      <c r="M13" s="50"/>
      <c r="N13" s="5">
        <f t="shared" si="1"/>
        <v>5.9260500000000009</v>
      </c>
      <c r="O13" s="30"/>
      <c r="P13" s="59"/>
      <c r="Q13" s="61"/>
      <c r="R13" s="29"/>
      <c r="S13" s="30"/>
      <c r="T13" s="32"/>
    </row>
    <row r="14" spans="1:23" x14ac:dyDescent="0.35">
      <c r="A14" t="s">
        <v>43</v>
      </c>
      <c r="B14" t="s">
        <v>7</v>
      </c>
      <c r="C14">
        <v>1</v>
      </c>
      <c r="D14" t="s">
        <v>78</v>
      </c>
      <c r="E14">
        <v>106.7</v>
      </c>
      <c r="F14">
        <v>1</v>
      </c>
      <c r="G14">
        <v>0.23699999999999999</v>
      </c>
      <c r="H14">
        <v>0.20499999999999999</v>
      </c>
      <c r="I14" s="43">
        <f>G14/0.6</f>
        <v>0.39500000000000002</v>
      </c>
      <c r="J14" s="43">
        <f>H14/0.6</f>
        <v>0.34166666666666667</v>
      </c>
      <c r="K14" s="5">
        <f t="shared" si="0"/>
        <v>4.2961833333333335</v>
      </c>
      <c r="L14" s="29">
        <f t="shared" ref="L14" si="32">AVERAGE(K14:K15)</f>
        <v>3.7021250000000001</v>
      </c>
      <c r="M14" s="32">
        <f t="shared" ref="M14" si="33">(_xlfn.STDEV.S(K14:K15)/SQRT(2))/L14</f>
        <v>0.16046414784301818</v>
      </c>
      <c r="N14" s="5">
        <f t="shared" si="1"/>
        <v>7.8219000000000012</v>
      </c>
      <c r="O14" s="29">
        <f t="shared" ref="O14" si="34">AVERAGE(N14:N15)</f>
        <v>6.9575000000000014</v>
      </c>
      <c r="P14" s="59">
        <f t="shared" ref="P14" si="35">(_xlfn.STDEV.S(N14:N15)/SQRT(2))/O14</f>
        <v>0.12424002874595741</v>
      </c>
      <c r="Q14" s="61">
        <f t="shared" ref="Q14:Q41" si="36">L14+O14</f>
        <v>10.659625000000002</v>
      </c>
      <c r="R14" s="29">
        <f t="shared" ref="R14" si="37">Q14*(F14/E14)*1000</f>
        <v>99.902764761012193</v>
      </c>
      <c r="S14" s="30"/>
      <c r="T14" s="32"/>
    </row>
    <row r="15" spans="1:23" x14ac:dyDescent="0.35">
      <c r="A15" t="s">
        <v>43</v>
      </c>
      <c r="B15" t="s">
        <v>7</v>
      </c>
      <c r="C15">
        <v>1</v>
      </c>
      <c r="D15" t="s">
        <v>79</v>
      </c>
      <c r="E15">
        <v>103.5</v>
      </c>
      <c r="F15">
        <v>1</v>
      </c>
      <c r="G15">
        <v>0.17199999999999999</v>
      </c>
      <c r="H15">
        <v>0.158</v>
      </c>
      <c r="I15" s="43">
        <f>G15/0.6</f>
        <v>0.28666666666666668</v>
      </c>
      <c r="J15" s="43">
        <f>H15/0.6</f>
        <v>0.26333333333333336</v>
      </c>
      <c r="K15" s="5">
        <f t="shared" si="0"/>
        <v>3.1080666666666668</v>
      </c>
      <c r="L15" s="30"/>
      <c r="M15" s="32"/>
      <c r="N15" s="5">
        <f t="shared" si="1"/>
        <v>6.0931000000000015</v>
      </c>
      <c r="O15" s="30"/>
      <c r="P15" s="59"/>
      <c r="Q15" s="61"/>
      <c r="R15" s="29"/>
      <c r="S15" s="30"/>
      <c r="T15" s="32"/>
    </row>
    <row r="16" spans="1:23" x14ac:dyDescent="0.35">
      <c r="A16" t="s">
        <v>45</v>
      </c>
      <c r="B16" t="s">
        <v>7</v>
      </c>
      <c r="C16">
        <v>1</v>
      </c>
      <c r="D16" t="s">
        <v>78</v>
      </c>
      <c r="E16">
        <v>107.8</v>
      </c>
      <c r="F16">
        <v>1</v>
      </c>
      <c r="G16">
        <v>0.24299999999999999</v>
      </c>
      <c r="H16">
        <v>0.214</v>
      </c>
      <c r="I16" s="43">
        <f>G16/0.6</f>
        <v>0.40500000000000003</v>
      </c>
      <c r="J16" s="43">
        <f>H16/0.6</f>
        <v>0.35666666666666669</v>
      </c>
      <c r="K16" s="5">
        <f t="shared" si="0"/>
        <v>4.4008833333333337</v>
      </c>
      <c r="L16" s="29">
        <f t="shared" ref="L16" si="38">AVERAGE(K16:K17)</f>
        <v>10.153924999999999</v>
      </c>
      <c r="M16" s="32">
        <f t="shared" ref="M16" si="39">(_xlfn.STDEV.S(K16:K17)/SQRT(2))/L16</f>
        <v>0.56658303726555648</v>
      </c>
      <c r="N16" s="5">
        <f t="shared" si="1"/>
        <v>8.1919500000000003</v>
      </c>
      <c r="O16" s="29">
        <f t="shared" ref="O16" si="40">AVERAGE(N16:N17)</f>
        <v>12.369575000000001</v>
      </c>
      <c r="P16" s="59">
        <f t="shared" ref="P16" si="41">(_xlfn.STDEV.S(N16:N17)/SQRT(2))/O16</f>
        <v>0.33773391567616501</v>
      </c>
      <c r="Q16" s="61">
        <f t="shared" ref="Q16:Q41" si="42">L16+O16</f>
        <v>22.523499999999999</v>
      </c>
      <c r="R16" s="63">
        <f t="shared" ref="R16" si="43">Q16*(F16/E16)*1000</f>
        <v>208.93784786641928</v>
      </c>
      <c r="S16" s="30"/>
      <c r="T16" s="32"/>
    </row>
    <row r="17" spans="1:20" x14ac:dyDescent="0.35">
      <c r="A17" t="s">
        <v>45</v>
      </c>
      <c r="B17" t="s">
        <v>7</v>
      </c>
      <c r="C17">
        <v>1</v>
      </c>
      <c r="D17" t="s">
        <v>79</v>
      </c>
      <c r="E17">
        <v>102</v>
      </c>
      <c r="F17">
        <v>1</v>
      </c>
      <c r="G17">
        <v>0.86199999999999999</v>
      </c>
      <c r="H17">
        <v>0.48199999999999998</v>
      </c>
      <c r="I17" s="43">
        <f>G17/0.6</f>
        <v>1.4366666666666668</v>
      </c>
      <c r="J17" s="43">
        <f>H17/0.6</f>
        <v>0.80333333333333334</v>
      </c>
      <c r="K17" s="5">
        <f t="shared" si="0"/>
        <v>15.906966666666666</v>
      </c>
      <c r="L17" s="30"/>
      <c r="M17" s="32"/>
      <c r="N17" s="5">
        <f t="shared" si="1"/>
        <v>16.5472</v>
      </c>
      <c r="O17" s="30"/>
      <c r="P17" s="59"/>
      <c r="Q17" s="61"/>
      <c r="R17" s="63"/>
      <c r="S17" s="30"/>
      <c r="T17" s="32"/>
    </row>
    <row r="18" spans="1:20" x14ac:dyDescent="0.35">
      <c r="A18" t="s">
        <v>46</v>
      </c>
      <c r="B18" t="s">
        <v>7</v>
      </c>
      <c r="C18">
        <v>1</v>
      </c>
      <c r="D18" t="s">
        <v>78</v>
      </c>
      <c r="E18">
        <v>101.8</v>
      </c>
      <c r="F18">
        <v>1</v>
      </c>
      <c r="G18">
        <v>0.156</v>
      </c>
      <c r="H18">
        <v>0.16700000000000001</v>
      </c>
      <c r="I18" s="43">
        <f>G18/0.6</f>
        <v>0.26</v>
      </c>
      <c r="J18" s="43">
        <f>H18/0.6</f>
        <v>0.27833333333333338</v>
      </c>
      <c r="K18" s="5">
        <f t="shared" si="0"/>
        <v>2.7936666666666667</v>
      </c>
      <c r="L18" s="29">
        <f t="shared" ref="L18" si="44">AVERAGE(K18:K19)</f>
        <v>3.2653499999999998</v>
      </c>
      <c r="M18" s="32">
        <f t="shared" ref="M18" si="45">(_xlfn.STDEV.S(K18:K19)/SQRT(2))/L18</f>
        <v>0.14445107977194901</v>
      </c>
      <c r="N18" s="5">
        <f t="shared" si="1"/>
        <v>6.5962500000000013</v>
      </c>
      <c r="O18" s="29">
        <f t="shared" ref="O18" si="46">AVERAGE(N18:N19)</f>
        <v>8.238900000000001</v>
      </c>
      <c r="P18" s="59">
        <f t="shared" ref="P18" si="47">(_xlfn.STDEV.S(N18:N19)/SQRT(2))/O18</f>
        <v>0.19937734406292082</v>
      </c>
      <c r="Q18" s="61">
        <f t="shared" ref="Q18:Q41" si="48">L18+O18</f>
        <v>11.504250000000001</v>
      </c>
      <c r="R18" s="29">
        <f t="shared" ref="R18" si="49">Q18*(F18/E18)*1000</f>
        <v>113.00834970530451</v>
      </c>
      <c r="S18" s="30"/>
      <c r="T18" s="32"/>
    </row>
    <row r="19" spans="1:20" x14ac:dyDescent="0.35">
      <c r="A19" t="s">
        <v>46</v>
      </c>
      <c r="B19" t="s">
        <v>7</v>
      </c>
      <c r="C19">
        <v>1</v>
      </c>
      <c r="D19" t="s">
        <v>79</v>
      </c>
      <c r="E19">
        <v>103.1</v>
      </c>
      <c r="F19">
        <v>1</v>
      </c>
      <c r="G19">
        <v>0.21</v>
      </c>
      <c r="H19">
        <v>0.247</v>
      </c>
      <c r="I19" s="43">
        <f>G19/0.6</f>
        <v>0.35</v>
      </c>
      <c r="J19" s="43">
        <f>H19/0.6</f>
        <v>0.41166666666666668</v>
      </c>
      <c r="K19" s="5">
        <f t="shared" si="0"/>
        <v>3.7370333333333332</v>
      </c>
      <c r="L19" s="30"/>
      <c r="M19" s="32"/>
      <c r="N19" s="5">
        <f t="shared" si="1"/>
        <v>9.8815500000000007</v>
      </c>
      <c r="O19" s="30"/>
      <c r="P19" s="59"/>
      <c r="Q19" s="61"/>
      <c r="R19" s="29"/>
      <c r="S19" s="30"/>
      <c r="T19" s="32"/>
    </row>
    <row r="20" spans="1:20" x14ac:dyDescent="0.35">
      <c r="A20" t="s">
        <v>47</v>
      </c>
      <c r="B20" t="s">
        <v>7</v>
      </c>
      <c r="C20">
        <v>1</v>
      </c>
      <c r="D20" t="s">
        <v>78</v>
      </c>
      <c r="E20">
        <v>108</v>
      </c>
      <c r="F20">
        <v>1</v>
      </c>
      <c r="G20">
        <v>0.442</v>
      </c>
      <c r="H20">
        <v>0.30499999999999999</v>
      </c>
      <c r="I20" s="43">
        <f>G20/0.6</f>
        <v>0.73666666666666669</v>
      </c>
      <c r="J20" s="43">
        <f>H20/0.6</f>
        <v>0.5083333333333333</v>
      </c>
      <c r="K20" s="5">
        <f t="shared" si="0"/>
        <v>8.0947666666666667</v>
      </c>
      <c r="L20" s="29">
        <f t="shared" ref="L20" si="50">AVERAGE(K20:K21)</f>
        <v>6.1025083333333328</v>
      </c>
      <c r="M20" s="50">
        <f t="shared" ref="M20" si="51">(_xlfn.STDEV.S(K20:K21)/SQRT(2))/L20</f>
        <v>0.32646548345557386</v>
      </c>
      <c r="N20" s="5">
        <f t="shared" si="1"/>
        <v>11.09665</v>
      </c>
      <c r="O20" s="29">
        <f t="shared" ref="O20" si="52">AVERAGE(N20:N21)</f>
        <v>8.5925750000000001</v>
      </c>
      <c r="P20" s="59">
        <f t="shared" ref="P20" si="53">(_xlfn.STDEV.S(N20:N21)/SQRT(2))/O20</f>
        <v>0.29142311821543621</v>
      </c>
      <c r="Q20" s="61">
        <f t="shared" ref="Q20:Q41" si="54">L20+O20</f>
        <v>14.695083333333333</v>
      </c>
      <c r="R20" s="29">
        <f t="shared" ref="R20" si="55">Q20*(F20/E20)*1000</f>
        <v>136.06558641975309</v>
      </c>
      <c r="S20" s="30"/>
      <c r="T20" s="32"/>
    </row>
    <row r="21" spans="1:20" x14ac:dyDescent="0.35">
      <c r="A21" t="s">
        <v>47</v>
      </c>
      <c r="B21" t="s">
        <v>7</v>
      </c>
      <c r="C21">
        <v>1</v>
      </c>
      <c r="D21" t="s">
        <v>79</v>
      </c>
      <c r="E21">
        <v>108.6</v>
      </c>
      <c r="F21">
        <v>1</v>
      </c>
      <c r="G21">
        <v>0.22500000000000001</v>
      </c>
      <c r="H21">
        <v>0.16500000000000001</v>
      </c>
      <c r="I21" s="43">
        <f>G21/0.6</f>
        <v>0.375</v>
      </c>
      <c r="J21" s="43">
        <f>H21/0.6</f>
        <v>0.27500000000000002</v>
      </c>
      <c r="K21" s="5">
        <f t="shared" si="0"/>
        <v>4.1102499999999997</v>
      </c>
      <c r="L21" s="30"/>
      <c r="M21" s="50"/>
      <c r="N21" s="5">
        <f t="shared" si="1"/>
        <v>6.0885000000000007</v>
      </c>
      <c r="O21" s="30"/>
      <c r="P21" s="59"/>
      <c r="Q21" s="61"/>
      <c r="R21" s="29"/>
      <c r="S21" s="30"/>
      <c r="T21" s="32"/>
    </row>
    <row r="22" spans="1:20" x14ac:dyDescent="0.35">
      <c r="A22" t="s">
        <v>52</v>
      </c>
      <c r="B22" t="s">
        <v>4</v>
      </c>
      <c r="C22">
        <v>1</v>
      </c>
      <c r="D22" t="s">
        <v>78</v>
      </c>
      <c r="E22">
        <v>102.3</v>
      </c>
      <c r="F22">
        <v>1</v>
      </c>
      <c r="G22">
        <v>0.17499999999999999</v>
      </c>
      <c r="H22">
        <v>0.13100000000000001</v>
      </c>
      <c r="I22" s="43">
        <f>G22/0.6</f>
        <v>0.29166666666666669</v>
      </c>
      <c r="J22" s="43">
        <f>H22/0.6</f>
        <v>0.21833333333333335</v>
      </c>
      <c r="K22" s="5">
        <f t="shared" si="0"/>
        <v>3.1940166666666667</v>
      </c>
      <c r="L22" s="29">
        <f t="shared" ref="L22:L80" si="56">AVERAGE(K22:K23)</f>
        <v>3.6849749999999997</v>
      </c>
      <c r="M22" s="50">
        <f t="shared" ref="M22" si="57">(_xlfn.STDEV.S(K22:K23)/SQRT(2))/L22</f>
        <v>0.13323247330940793</v>
      </c>
      <c r="N22" s="5">
        <f t="shared" si="1"/>
        <v>4.855900000000001</v>
      </c>
      <c r="O22" s="29">
        <f t="shared" ref="O22:O40" si="58">AVERAGE(N22:N23)</f>
        <v>5.2825249999999997</v>
      </c>
      <c r="P22" s="59">
        <f t="shared" ref="P22" si="59">(_xlfn.STDEV.S(N22:N23)/SQRT(2))/O22</f>
        <v>8.0761567621544447E-2</v>
      </c>
      <c r="Q22" s="61">
        <f t="shared" ref="Q22:Q41" si="60">L22+O22</f>
        <v>8.9674999999999994</v>
      </c>
      <c r="R22" s="29">
        <f t="shared" ref="R22" si="61">Q22*(F22/E22)*1000</f>
        <v>87.658846529814255</v>
      </c>
      <c r="S22" s="29">
        <f t="shared" ref="S22" si="62">AVERAGE(R22:R31)</f>
        <v>100.36089099290965</v>
      </c>
      <c r="T22" s="32">
        <f t="shared" ref="T22" si="63">(_xlfn.STDEV.S(R22:R31)/SQRT(5))/S22</f>
        <v>4.8885280378417002E-2</v>
      </c>
    </row>
    <row r="23" spans="1:20" x14ac:dyDescent="0.35">
      <c r="A23" t="s">
        <v>52</v>
      </c>
      <c r="B23" t="s">
        <v>4</v>
      </c>
      <c r="C23">
        <v>1</v>
      </c>
      <c r="D23" t="s">
        <v>79</v>
      </c>
      <c r="E23">
        <v>103.5</v>
      </c>
      <c r="F23">
        <v>1</v>
      </c>
      <c r="G23">
        <v>0.22800000000000001</v>
      </c>
      <c r="H23">
        <v>0.157</v>
      </c>
      <c r="I23" s="43">
        <f>G23/0.6</f>
        <v>0.38</v>
      </c>
      <c r="J23" s="43">
        <f>H23/0.6</f>
        <v>0.26166666666666666</v>
      </c>
      <c r="K23" s="5">
        <f t="shared" si="0"/>
        <v>4.1759333333333331</v>
      </c>
      <c r="L23" s="30"/>
      <c r="M23" s="50"/>
      <c r="N23" s="5">
        <f t="shared" si="1"/>
        <v>5.7091499999999993</v>
      </c>
      <c r="O23" s="30"/>
      <c r="P23" s="59"/>
      <c r="Q23" s="61"/>
      <c r="R23" s="29"/>
      <c r="S23" s="30"/>
      <c r="T23" s="32"/>
    </row>
    <row r="24" spans="1:20" x14ac:dyDescent="0.35">
      <c r="A24" t="s">
        <v>58</v>
      </c>
      <c r="B24" t="s">
        <v>4</v>
      </c>
      <c r="C24">
        <v>1</v>
      </c>
      <c r="D24" t="s">
        <v>78</v>
      </c>
      <c r="E24">
        <v>102.2</v>
      </c>
      <c r="F24">
        <v>1</v>
      </c>
      <c r="G24">
        <v>0.38800000000000001</v>
      </c>
      <c r="H24">
        <v>0.222</v>
      </c>
      <c r="I24" s="43">
        <f>G24/0.6</f>
        <v>0.64666666666666672</v>
      </c>
      <c r="J24" s="43">
        <f>H24/0.6</f>
        <v>0.37</v>
      </c>
      <c r="K24" s="5">
        <f t="shared" si="0"/>
        <v>7.1546000000000012</v>
      </c>
      <c r="L24" s="29">
        <f t="shared" si="56"/>
        <v>4.8917583333333337</v>
      </c>
      <c r="M24" s="32">
        <f t="shared" ref="M24" si="64">(_xlfn.STDEV.S(K24:K25)/SQRT(2))/L24</f>
        <v>0.46258247290084858</v>
      </c>
      <c r="N24" s="5">
        <f t="shared" si="1"/>
        <v>7.6758999999999986</v>
      </c>
      <c r="O24" s="29">
        <f t="shared" si="58"/>
        <v>6.2211999999999996</v>
      </c>
      <c r="P24" s="59">
        <f t="shared" ref="P24" si="65">(_xlfn.STDEV.S(N24:N25)/SQRT(2))/O24</f>
        <v>0.23382948627274441</v>
      </c>
      <c r="Q24" s="61">
        <f t="shared" ref="Q24:Q41" si="66">L24+O24</f>
        <v>11.112958333333333</v>
      </c>
      <c r="R24" s="29">
        <f t="shared" ref="R24" si="67">Q24*(F24/E24)*1000</f>
        <v>108.73736138290931</v>
      </c>
      <c r="S24" s="30"/>
      <c r="T24" s="32"/>
    </row>
    <row r="25" spans="1:20" x14ac:dyDescent="0.35">
      <c r="A25" t="s">
        <v>58</v>
      </c>
      <c r="B25" t="s">
        <v>4</v>
      </c>
      <c r="C25">
        <v>1</v>
      </c>
      <c r="D25" t="s">
        <v>79</v>
      </c>
      <c r="E25">
        <v>99.5</v>
      </c>
      <c r="F25">
        <v>1</v>
      </c>
      <c r="G25">
        <v>0.14499999999999999</v>
      </c>
      <c r="H25">
        <v>0.125</v>
      </c>
      <c r="I25" s="43">
        <f>G25/0.6</f>
        <v>0.24166666666666667</v>
      </c>
      <c r="J25" s="43">
        <f>H25/0.6</f>
        <v>0.20833333333333334</v>
      </c>
      <c r="K25" s="5">
        <f t="shared" si="0"/>
        <v>2.6289166666666666</v>
      </c>
      <c r="L25" s="30"/>
      <c r="M25" s="32"/>
      <c r="N25" s="5">
        <f t="shared" si="1"/>
        <v>4.7664999999999997</v>
      </c>
      <c r="O25" s="30"/>
      <c r="P25" s="59"/>
      <c r="Q25" s="61"/>
      <c r="R25" s="29"/>
      <c r="S25" s="30"/>
      <c r="T25" s="32"/>
    </row>
    <row r="26" spans="1:20" x14ac:dyDescent="0.35">
      <c r="A26" t="s">
        <v>54</v>
      </c>
      <c r="B26" t="s">
        <v>4</v>
      </c>
      <c r="C26">
        <v>1</v>
      </c>
      <c r="D26" t="s">
        <v>78</v>
      </c>
      <c r="E26">
        <v>106.6</v>
      </c>
      <c r="F26">
        <v>1</v>
      </c>
      <c r="G26">
        <v>0.28299999999999997</v>
      </c>
      <c r="H26">
        <v>0.182</v>
      </c>
      <c r="I26" s="43">
        <f>G26/0.6</f>
        <v>0.47166666666666662</v>
      </c>
      <c r="J26" s="43">
        <f>H26/0.6</f>
        <v>0.30333333333333334</v>
      </c>
      <c r="K26" s="5">
        <f t="shared" si="0"/>
        <v>5.1970166666666664</v>
      </c>
      <c r="L26" s="29">
        <f t="shared" si="56"/>
        <v>4.4225166666666667</v>
      </c>
      <c r="M26" s="50">
        <f t="shared" ref="M26" si="68">(_xlfn.STDEV.S(K26:K27)/SQRT(2))/L26</f>
        <v>0.17512653051995272</v>
      </c>
      <c r="N26" s="5">
        <f t="shared" si="1"/>
        <v>6.5051500000000004</v>
      </c>
      <c r="O26" s="29">
        <f t="shared" si="58"/>
        <v>5.675650000000001</v>
      </c>
      <c r="P26" s="50">
        <f t="shared" ref="P26" si="69">(_xlfn.STDEV.S(N26:N27)/SQRT(2))/O26</f>
        <v>0.14615066115775235</v>
      </c>
      <c r="Q26" s="61">
        <f t="shared" ref="Q26:Q41" si="70">L26+O26</f>
        <v>10.098166666666668</v>
      </c>
      <c r="R26" s="29">
        <f t="shared" ref="R26" si="71">Q26*(F26/E26)*1000</f>
        <v>94.729518449030664</v>
      </c>
      <c r="S26" s="30"/>
      <c r="T26" s="32"/>
    </row>
    <row r="27" spans="1:20" x14ac:dyDescent="0.35">
      <c r="A27" t="s">
        <v>54</v>
      </c>
      <c r="B27" t="s">
        <v>4</v>
      </c>
      <c r="C27">
        <v>1</v>
      </c>
      <c r="D27" t="s">
        <v>79</v>
      </c>
      <c r="E27">
        <v>99.9</v>
      </c>
      <c r="F27">
        <v>1</v>
      </c>
      <c r="G27">
        <v>0.19900000000000001</v>
      </c>
      <c r="H27">
        <v>0.13400000000000001</v>
      </c>
      <c r="I27" s="43">
        <f>G27/0.6</f>
        <v>0.33166666666666672</v>
      </c>
      <c r="J27" s="43">
        <f>H27/0.6</f>
        <v>0.22333333333333336</v>
      </c>
      <c r="K27" s="5">
        <f t="shared" si="0"/>
        <v>3.6480166666666669</v>
      </c>
      <c r="L27" s="30"/>
      <c r="M27" s="50"/>
      <c r="N27" s="5">
        <f t="shared" si="1"/>
        <v>4.8461500000000006</v>
      </c>
      <c r="O27" s="30"/>
      <c r="P27" s="50"/>
      <c r="Q27" s="61"/>
      <c r="R27" s="29"/>
      <c r="S27" s="30"/>
      <c r="T27" s="32"/>
    </row>
    <row r="28" spans="1:20" x14ac:dyDescent="0.35">
      <c r="A28" t="s">
        <v>55</v>
      </c>
      <c r="B28" t="s">
        <v>4</v>
      </c>
      <c r="C28">
        <v>1</v>
      </c>
      <c r="D28" t="s">
        <v>78</v>
      </c>
      <c r="E28">
        <v>107</v>
      </c>
      <c r="F28">
        <v>1</v>
      </c>
      <c r="G28">
        <v>0.36599999999999999</v>
      </c>
      <c r="H28">
        <v>0.224</v>
      </c>
      <c r="I28" s="43">
        <f>G28/0.6</f>
        <v>0.61</v>
      </c>
      <c r="J28" s="43">
        <f>H28/0.6</f>
        <v>0.37333333333333335</v>
      </c>
      <c r="K28" s="5">
        <f t="shared" si="0"/>
        <v>6.7333666666666661</v>
      </c>
      <c r="L28" s="29">
        <f t="shared" si="56"/>
        <v>5.5128666666666657</v>
      </c>
      <c r="M28" s="32">
        <f t="shared" ref="M28" si="72">(_xlfn.STDEV.S(K28:K29)/SQRT(2))/L28</f>
        <v>0.22139116974834672</v>
      </c>
      <c r="N28" s="5">
        <f t="shared" si="1"/>
        <v>7.8993000000000002</v>
      </c>
      <c r="O28" s="29">
        <f t="shared" si="58"/>
        <v>6.7409250000000007</v>
      </c>
      <c r="P28" s="59">
        <f t="shared" ref="P28" si="73">(_xlfn.STDEV.S(N28:N29)/SQRT(2))/O28</f>
        <v>0.17184214332602629</v>
      </c>
      <c r="Q28" s="61">
        <f t="shared" ref="Q28:Q41" si="74">L28+O28</f>
        <v>12.253791666666666</v>
      </c>
      <c r="R28" s="29">
        <f t="shared" ref="R28" si="75">Q28*(F28/E28)*1000</f>
        <v>114.52141744548285</v>
      </c>
      <c r="S28" s="30"/>
      <c r="T28" s="32"/>
    </row>
    <row r="29" spans="1:20" x14ac:dyDescent="0.35">
      <c r="A29" t="s">
        <v>55</v>
      </c>
      <c r="B29" t="s">
        <v>4</v>
      </c>
      <c r="C29">
        <v>1</v>
      </c>
      <c r="D29" t="s">
        <v>79</v>
      </c>
      <c r="E29">
        <v>106.6</v>
      </c>
      <c r="F29">
        <v>1</v>
      </c>
      <c r="G29">
        <v>0.23400000000000001</v>
      </c>
      <c r="H29">
        <v>0.155</v>
      </c>
      <c r="I29" s="43">
        <f>G29/0.6</f>
        <v>0.39</v>
      </c>
      <c r="J29" s="43">
        <f>H29/0.6</f>
        <v>0.25833333333333336</v>
      </c>
      <c r="K29" s="5">
        <f t="shared" si="0"/>
        <v>4.2923666666666662</v>
      </c>
      <c r="L29" s="30"/>
      <c r="M29" s="32"/>
      <c r="N29" s="5">
        <f t="shared" si="1"/>
        <v>5.5825500000000003</v>
      </c>
      <c r="O29" s="30"/>
      <c r="P29" s="59"/>
      <c r="Q29" s="61"/>
      <c r="R29" s="29"/>
      <c r="S29" s="30"/>
      <c r="T29" s="32"/>
    </row>
    <row r="30" spans="1:20" x14ac:dyDescent="0.35">
      <c r="A30" t="s">
        <v>56</v>
      </c>
      <c r="B30" t="s">
        <v>4</v>
      </c>
      <c r="C30">
        <v>1</v>
      </c>
      <c r="D30" t="s">
        <v>78</v>
      </c>
      <c r="E30">
        <v>96.2</v>
      </c>
      <c r="F30">
        <v>1</v>
      </c>
      <c r="G30">
        <v>0.17100000000000001</v>
      </c>
      <c r="H30">
        <v>0.17299999999999999</v>
      </c>
      <c r="I30" s="43">
        <f>G30/0.6</f>
        <v>0.28500000000000003</v>
      </c>
      <c r="J30" s="43">
        <f>H30/0.6</f>
        <v>0.28833333333333333</v>
      </c>
      <c r="K30" s="5">
        <f t="shared" si="0"/>
        <v>3.0730166666666667</v>
      </c>
      <c r="L30" s="29">
        <f t="shared" si="56"/>
        <v>3.0487833333333336</v>
      </c>
      <c r="M30" s="32">
        <f t="shared" ref="M30" si="76">(_xlfn.STDEV.S(K30:K31)/SQRT(2))/L30</f>
        <v>7.9485259147090721E-3</v>
      </c>
      <c r="N30" s="5">
        <f t="shared" si="1"/>
        <v>6.7763999999999998</v>
      </c>
      <c r="O30" s="29">
        <f t="shared" si="58"/>
        <v>6.2015499999999992</v>
      </c>
      <c r="P30" s="50">
        <f t="shared" ref="P30" si="77">(_xlfn.STDEV.S(N30:N31)/SQRT(2))/O30</f>
        <v>9.2694568293410537E-2</v>
      </c>
      <c r="Q30" s="61">
        <f t="shared" ref="Q30:Q41" si="78">L30+O30</f>
        <v>9.2503333333333337</v>
      </c>
      <c r="R30" s="29">
        <f t="shared" ref="R30" si="79">Q30*(F30/E30)*1000</f>
        <v>96.157311157311142</v>
      </c>
      <c r="S30" s="30"/>
      <c r="T30" s="32"/>
    </row>
    <row r="31" spans="1:20" x14ac:dyDescent="0.35">
      <c r="A31" t="s">
        <v>56</v>
      </c>
      <c r="B31" t="s">
        <v>4</v>
      </c>
      <c r="C31">
        <v>1</v>
      </c>
      <c r="D31" t="s">
        <v>79</v>
      </c>
      <c r="E31">
        <v>101.7</v>
      </c>
      <c r="F31">
        <v>1</v>
      </c>
      <c r="G31">
        <v>0.16700000000000001</v>
      </c>
      <c r="H31">
        <v>0.14699999999999999</v>
      </c>
      <c r="I31" s="43">
        <f>G31/0.6</f>
        <v>0.27833333333333338</v>
      </c>
      <c r="J31" s="43">
        <f>H31/0.6</f>
        <v>0.245</v>
      </c>
      <c r="K31" s="5">
        <f t="shared" si="0"/>
        <v>3.0245500000000005</v>
      </c>
      <c r="L31" s="30"/>
      <c r="M31" s="32"/>
      <c r="N31" s="5">
        <f t="shared" si="1"/>
        <v>5.6266999999999996</v>
      </c>
      <c r="O31" s="30"/>
      <c r="P31" s="50"/>
      <c r="Q31" s="61"/>
      <c r="R31" s="29"/>
      <c r="S31" s="30"/>
      <c r="T31" s="32"/>
    </row>
    <row r="32" spans="1:20" x14ac:dyDescent="0.35">
      <c r="A32" t="s">
        <v>62</v>
      </c>
      <c r="B32" t="s">
        <v>3</v>
      </c>
      <c r="C32">
        <v>1</v>
      </c>
      <c r="D32" t="s">
        <v>78</v>
      </c>
      <c r="E32">
        <v>103.1</v>
      </c>
      <c r="F32">
        <v>1</v>
      </c>
      <c r="G32">
        <v>0.23100000000000001</v>
      </c>
      <c r="H32">
        <v>0.21099999999999999</v>
      </c>
      <c r="I32" s="43">
        <f>G32/0.6</f>
        <v>0.38500000000000001</v>
      </c>
      <c r="J32" s="43">
        <f>H32/0.6</f>
        <v>0.35166666666666668</v>
      </c>
      <c r="K32" s="5">
        <f t="shared" si="0"/>
        <v>4.1754833333333332</v>
      </c>
      <c r="L32" s="29">
        <f t="shared" si="56"/>
        <v>3.1936416666666667</v>
      </c>
      <c r="M32" s="32">
        <f t="shared" ref="M32" si="80">(_xlfn.STDEV.S(K32:K33)/SQRT(2))/L32</f>
        <v>0.30743639053640426</v>
      </c>
      <c r="N32" s="5">
        <f t="shared" si="1"/>
        <v>8.1290999999999993</v>
      </c>
      <c r="O32" s="29">
        <f t="shared" si="58"/>
        <v>6.8725249999999996</v>
      </c>
      <c r="P32" s="59">
        <f t="shared" ref="P32" si="81">(_xlfn.STDEV.S(N32:N33)/SQRT(2))/O32</f>
        <v>0.18284036798702108</v>
      </c>
      <c r="Q32" s="61">
        <f t="shared" ref="Q32:Q41" si="82">L32+O32</f>
        <v>10.066166666666666</v>
      </c>
      <c r="R32" s="29">
        <f t="shared" ref="R32" si="83">Q32*(F32/E32)*1000</f>
        <v>97.6349822179114</v>
      </c>
      <c r="S32" s="29">
        <f t="shared" ref="S32" si="84">AVERAGE(R32:R41)</f>
        <v>86.100895208512014</v>
      </c>
      <c r="T32" s="32">
        <f t="shared" ref="T32" si="85">(_xlfn.STDEV.S(R32:R41)/SQRT(5))/S32</f>
        <v>0.11587477195222594</v>
      </c>
    </row>
    <row r="33" spans="1:20" x14ac:dyDescent="0.35">
      <c r="A33" t="s">
        <v>62</v>
      </c>
      <c r="B33" t="s">
        <v>3</v>
      </c>
      <c r="C33">
        <v>1</v>
      </c>
      <c r="D33" t="s">
        <v>79</v>
      </c>
      <c r="E33">
        <v>108.8</v>
      </c>
      <c r="F33">
        <v>1</v>
      </c>
      <c r="G33">
        <v>0.124</v>
      </c>
      <c r="H33">
        <v>0.14099999999999999</v>
      </c>
      <c r="I33" s="43">
        <f>G33/0.6</f>
        <v>0.20666666666666667</v>
      </c>
      <c r="J33" s="43">
        <f>H33/0.6</f>
        <v>0.23499999999999999</v>
      </c>
      <c r="K33" s="5">
        <f t="shared" si="0"/>
        <v>2.2118000000000002</v>
      </c>
      <c r="L33" s="30"/>
      <c r="M33" s="32"/>
      <c r="N33" s="5">
        <f t="shared" si="1"/>
        <v>5.6159499999999998</v>
      </c>
      <c r="O33" s="30"/>
      <c r="P33" s="59"/>
      <c r="Q33" s="61"/>
      <c r="R33" s="29"/>
      <c r="S33" s="30"/>
      <c r="T33" s="32"/>
    </row>
    <row r="34" spans="1:20" x14ac:dyDescent="0.35">
      <c r="A34" t="s">
        <v>63</v>
      </c>
      <c r="B34" t="s">
        <v>3</v>
      </c>
      <c r="C34">
        <v>1</v>
      </c>
      <c r="D34" t="s">
        <v>78</v>
      </c>
      <c r="E34">
        <v>108.3</v>
      </c>
      <c r="F34">
        <v>1</v>
      </c>
      <c r="G34">
        <v>0.108</v>
      </c>
      <c r="H34">
        <v>0.125</v>
      </c>
      <c r="I34" s="43">
        <f>G34/0.6</f>
        <v>0.18</v>
      </c>
      <c r="J34" s="43">
        <f>H34/0.6</f>
        <v>0.20833333333333334</v>
      </c>
      <c r="K34" s="5">
        <f t="shared" si="0"/>
        <v>1.9240666666666666</v>
      </c>
      <c r="L34" s="29">
        <f t="shared" si="56"/>
        <v>2.0331083333333333</v>
      </c>
      <c r="M34" s="32">
        <f t="shared" ref="M34" si="86">(_xlfn.STDEV.S(K34:K35)/SQRT(2))/L34</f>
        <v>5.3632983977735263E-2</v>
      </c>
      <c r="N34" s="5">
        <f t="shared" si="1"/>
        <v>4.9903499999999994</v>
      </c>
      <c r="O34" s="29">
        <f t="shared" si="58"/>
        <v>4.7764749999999996</v>
      </c>
      <c r="P34" s="59">
        <f t="shared" ref="P34" si="87">(_xlfn.STDEV.S(N34:N35)/SQRT(2))/O34</f>
        <v>4.4776744356455199E-2</v>
      </c>
      <c r="Q34" s="61">
        <f t="shared" ref="Q34:Q41" si="88">L34+O34</f>
        <v>6.8095833333333324</v>
      </c>
      <c r="R34" s="29">
        <f t="shared" ref="R34" si="89">Q34*(F34/E34)*1000</f>
        <v>62.87703908895044</v>
      </c>
      <c r="S34" s="30"/>
      <c r="T34" s="32"/>
    </row>
    <row r="35" spans="1:20" x14ac:dyDescent="0.35">
      <c r="A35" t="s">
        <v>63</v>
      </c>
      <c r="B35" t="s">
        <v>3</v>
      </c>
      <c r="C35">
        <v>1</v>
      </c>
      <c r="D35" t="s">
        <v>79</v>
      </c>
      <c r="E35">
        <v>104.6</v>
      </c>
      <c r="F35">
        <v>1</v>
      </c>
      <c r="G35">
        <v>0.11899999999999999</v>
      </c>
      <c r="H35">
        <v>0.11700000000000001</v>
      </c>
      <c r="I35" s="43">
        <f>G35/0.6</f>
        <v>0.19833333333333333</v>
      </c>
      <c r="J35" s="43">
        <f>H35/0.6</f>
        <v>0.19500000000000001</v>
      </c>
      <c r="K35" s="5">
        <f t="shared" si="0"/>
        <v>2.14215</v>
      </c>
      <c r="L35" s="30"/>
      <c r="M35" s="32"/>
      <c r="N35" s="5">
        <f t="shared" si="1"/>
        <v>4.5626000000000007</v>
      </c>
      <c r="O35" s="30"/>
      <c r="P35" s="59"/>
      <c r="Q35" s="61"/>
      <c r="R35" s="29"/>
      <c r="S35" s="30"/>
      <c r="T35" s="32"/>
    </row>
    <row r="36" spans="1:20" x14ac:dyDescent="0.35">
      <c r="A36" t="s">
        <v>64</v>
      </c>
      <c r="B36" t="s">
        <v>3</v>
      </c>
      <c r="C36">
        <v>1</v>
      </c>
      <c r="D36" t="s">
        <v>78</v>
      </c>
      <c r="E36">
        <v>102.7</v>
      </c>
      <c r="F36">
        <v>1</v>
      </c>
      <c r="G36">
        <v>0.20300000000000001</v>
      </c>
      <c r="H36">
        <v>0.17</v>
      </c>
      <c r="I36" s="43">
        <f>G36/0.6</f>
        <v>0.33833333333333337</v>
      </c>
      <c r="J36" s="43">
        <f>H36/0.6</f>
        <v>0.28333333333333338</v>
      </c>
      <c r="K36" s="5">
        <f t="shared" si="0"/>
        <v>3.6858166666666672</v>
      </c>
      <c r="L36" s="29">
        <f t="shared" si="56"/>
        <v>3.8101000000000003</v>
      </c>
      <c r="M36" s="32">
        <f t="shared" ref="M36" si="90">(_xlfn.STDEV.S(K36:K37)/SQRT(2))/L36</f>
        <v>3.2619441309501812E-2</v>
      </c>
      <c r="N36" s="5">
        <f t="shared" si="1"/>
        <v>6.447350000000001</v>
      </c>
      <c r="O36" s="29">
        <f t="shared" si="58"/>
        <v>6.7887750000000011</v>
      </c>
      <c r="P36" s="59">
        <f t="shared" ref="P36" si="91">(_xlfn.STDEV.S(N36:N37)/SQRT(2))/O36</f>
        <v>5.0292578557987272E-2</v>
      </c>
      <c r="Q36" s="61">
        <f t="shared" ref="Q36:Q41" si="92">L36+O36</f>
        <v>10.598875000000001</v>
      </c>
      <c r="R36" s="29">
        <f t="shared" ref="R36" si="93">Q36*(F36/E36)*1000</f>
        <v>103.20228821811101</v>
      </c>
      <c r="S36" s="30"/>
      <c r="T36" s="32"/>
    </row>
    <row r="37" spans="1:20" x14ac:dyDescent="0.35">
      <c r="A37" t="s">
        <v>64</v>
      </c>
      <c r="B37" t="s">
        <v>3</v>
      </c>
      <c r="C37">
        <v>1</v>
      </c>
      <c r="D37" t="s">
        <v>79</v>
      </c>
      <c r="E37">
        <v>108.4</v>
      </c>
      <c r="F37">
        <v>1</v>
      </c>
      <c r="G37">
        <v>0.217</v>
      </c>
      <c r="H37">
        <v>0.187</v>
      </c>
      <c r="I37" s="43">
        <f>G37/0.6</f>
        <v>0.36166666666666669</v>
      </c>
      <c r="J37" s="43">
        <f>H37/0.6</f>
        <v>0.3116666666666667</v>
      </c>
      <c r="K37" s="5">
        <f t="shared" si="0"/>
        <v>3.9343833333333329</v>
      </c>
      <c r="L37" s="30"/>
      <c r="M37" s="32"/>
      <c r="N37" s="5">
        <f t="shared" si="1"/>
        <v>7.1302000000000012</v>
      </c>
      <c r="O37" s="30"/>
      <c r="P37" s="59"/>
      <c r="Q37" s="61"/>
      <c r="R37" s="29"/>
      <c r="S37" s="30"/>
      <c r="T37" s="32"/>
    </row>
    <row r="38" spans="1:20" x14ac:dyDescent="0.35">
      <c r="A38" t="s">
        <v>65</v>
      </c>
      <c r="B38" t="s">
        <v>3</v>
      </c>
      <c r="C38">
        <v>1</v>
      </c>
      <c r="D38" t="s">
        <v>78</v>
      </c>
      <c r="E38">
        <v>109.4</v>
      </c>
      <c r="F38">
        <v>1</v>
      </c>
      <c r="G38">
        <v>0.27600000000000002</v>
      </c>
      <c r="H38">
        <v>0.19900000000000001</v>
      </c>
      <c r="I38" s="43">
        <f>G38/0.6</f>
        <v>0.46000000000000008</v>
      </c>
      <c r="J38" s="43">
        <f>H38/0.6</f>
        <v>0.33166666666666672</v>
      </c>
      <c r="K38" s="5">
        <f t="shared" si="0"/>
        <v>5.0455333333333341</v>
      </c>
      <c r="L38" s="29">
        <f t="shared" si="56"/>
        <v>4.7932333333333332</v>
      </c>
      <c r="M38" s="32">
        <f t="shared" ref="M38" si="94">(_xlfn.STDEV.S(K38:K39)/SQRT(2))/L38</f>
        <v>5.2636703130107113E-2</v>
      </c>
      <c r="N38" s="5">
        <f t="shared" si="1"/>
        <v>7.3150500000000012</v>
      </c>
      <c r="O38" s="29">
        <f t="shared" si="58"/>
        <v>6.7902250000000013</v>
      </c>
      <c r="P38" s="59">
        <f t="shared" ref="P38" si="95">(_xlfn.STDEV.S(N38:N39)/SQRT(2))/O38</f>
        <v>7.7291253235349383E-2</v>
      </c>
      <c r="Q38" s="61">
        <f t="shared" ref="Q38:Q41" si="96">L38+O38</f>
        <v>11.583458333333335</v>
      </c>
      <c r="R38" s="29">
        <f t="shared" ref="R38" si="97">Q38*(F38/E38)*1000</f>
        <v>105.88170322973797</v>
      </c>
      <c r="S38" s="30"/>
      <c r="T38" s="32"/>
    </row>
    <row r="39" spans="1:20" x14ac:dyDescent="0.35">
      <c r="A39" t="s">
        <v>65</v>
      </c>
      <c r="B39" t="s">
        <v>3</v>
      </c>
      <c r="C39">
        <v>1</v>
      </c>
      <c r="D39" t="s">
        <v>79</v>
      </c>
      <c r="E39">
        <v>103.6</v>
      </c>
      <c r="F39">
        <v>1</v>
      </c>
      <c r="G39">
        <v>0.248</v>
      </c>
      <c r="H39">
        <v>0.17199999999999999</v>
      </c>
      <c r="I39" s="43">
        <f>G39/0.6</f>
        <v>0.41333333333333333</v>
      </c>
      <c r="J39" s="43">
        <f>H39/0.6</f>
        <v>0.28666666666666668</v>
      </c>
      <c r="K39" s="5">
        <f t="shared" si="0"/>
        <v>4.5409333333333333</v>
      </c>
      <c r="L39" s="30"/>
      <c r="M39" s="32"/>
      <c r="N39" s="5">
        <f t="shared" si="1"/>
        <v>6.2654000000000005</v>
      </c>
      <c r="O39" s="30"/>
      <c r="P39" s="59"/>
      <c r="Q39" s="61"/>
      <c r="R39" s="29"/>
      <c r="S39" s="30"/>
      <c r="T39" s="32"/>
    </row>
    <row r="40" spans="1:20" x14ac:dyDescent="0.35">
      <c r="A40" t="s">
        <v>66</v>
      </c>
      <c r="B40" t="s">
        <v>3</v>
      </c>
      <c r="C40">
        <v>1</v>
      </c>
      <c r="D40" t="s">
        <v>78</v>
      </c>
      <c r="E40">
        <v>102.6</v>
      </c>
      <c r="F40">
        <v>1</v>
      </c>
      <c r="G40">
        <v>6.6000000000000003E-2</v>
      </c>
      <c r="H40">
        <v>8.5000000000000006E-2</v>
      </c>
      <c r="I40" s="43">
        <f>G40/0.6</f>
        <v>0.11000000000000001</v>
      </c>
      <c r="J40" s="43">
        <f>H40/0.6</f>
        <v>0.14166666666666669</v>
      </c>
      <c r="K40" s="5">
        <f t="shared" si="0"/>
        <v>1.1666333333333334</v>
      </c>
      <c r="L40" s="29">
        <f t="shared" si="56"/>
        <v>1.9014333333333333</v>
      </c>
      <c r="M40" s="50">
        <f t="shared" ref="M40" si="98">(_xlfn.STDEV.S(K40:K41)/SQRT(2))/L40</f>
        <v>0.38644531318479036</v>
      </c>
      <c r="N40" s="5">
        <f t="shared" si="1"/>
        <v>3.4384500000000005</v>
      </c>
      <c r="O40" s="29">
        <f t="shared" si="58"/>
        <v>4.3477750000000004</v>
      </c>
      <c r="P40" s="50">
        <f t="shared" ref="P40" si="99">(_xlfn.STDEV.S(N40:N41)/SQRT(2))/O40</f>
        <v>0.20914720747968762</v>
      </c>
      <c r="Q40" s="61">
        <f t="shared" ref="Q40:Q41" si="100">L40+O40</f>
        <v>6.2492083333333337</v>
      </c>
      <c r="R40" s="29">
        <f>Q40*(F40/E40)*1000</f>
        <v>60.908463287849258</v>
      </c>
      <c r="S40" s="30"/>
      <c r="T40" s="32"/>
    </row>
    <row r="41" spans="1:20" x14ac:dyDescent="0.35">
      <c r="A41" t="s">
        <v>66</v>
      </c>
      <c r="B41" t="s">
        <v>3</v>
      </c>
      <c r="C41">
        <v>1</v>
      </c>
      <c r="D41" t="s">
        <v>79</v>
      </c>
      <c r="E41">
        <v>104.2</v>
      </c>
      <c r="F41">
        <v>1</v>
      </c>
      <c r="G41">
        <v>0.14599999999999999</v>
      </c>
      <c r="H41">
        <v>0.13600000000000001</v>
      </c>
      <c r="I41" s="43">
        <f>G41/0.6</f>
        <v>0.24333333333333332</v>
      </c>
      <c r="J41" s="43">
        <f>H41/0.6</f>
        <v>0.22666666666666668</v>
      </c>
      <c r="K41" s="5">
        <f t="shared" si="0"/>
        <v>2.6362333333333332</v>
      </c>
      <c r="L41" s="30"/>
      <c r="M41" s="50"/>
      <c r="N41" s="5">
        <f t="shared" si="1"/>
        <v>5.2571000000000003</v>
      </c>
      <c r="O41" s="30"/>
      <c r="P41" s="50"/>
      <c r="Q41" s="61"/>
      <c r="R41" s="29"/>
      <c r="S41" s="30"/>
      <c r="T41" s="32"/>
    </row>
    <row r="42" spans="1:20" x14ac:dyDescent="0.35">
      <c r="A42" s="49" t="s">
        <v>32</v>
      </c>
      <c r="B42" s="49" t="s">
        <v>10</v>
      </c>
      <c r="C42" s="49">
        <v>2</v>
      </c>
      <c r="D42" s="49" t="s">
        <v>78</v>
      </c>
      <c r="E42" s="49">
        <v>108.5</v>
      </c>
      <c r="F42" s="49">
        <v>1</v>
      </c>
      <c r="G42" s="49">
        <v>0.106</v>
      </c>
      <c r="H42" s="49">
        <v>0.17699999999999999</v>
      </c>
      <c r="I42" s="52"/>
      <c r="J42" s="52"/>
      <c r="K42" s="53"/>
      <c r="L42" s="56"/>
      <c r="M42" s="54"/>
    </row>
    <row r="43" spans="1:20" x14ac:dyDescent="0.35">
      <c r="A43" s="49" t="s">
        <v>32</v>
      </c>
      <c r="B43" s="49" t="s">
        <v>10</v>
      </c>
      <c r="C43" s="49">
        <v>2</v>
      </c>
      <c r="D43" s="49" t="s">
        <v>79</v>
      </c>
      <c r="E43" s="49">
        <v>102.5</v>
      </c>
      <c r="F43" s="49">
        <v>1</v>
      </c>
      <c r="G43" s="49">
        <v>0.216</v>
      </c>
      <c r="H43" s="49">
        <v>0.41599999999999998</v>
      </c>
      <c r="I43" s="52"/>
      <c r="J43" s="52"/>
      <c r="K43" s="53"/>
      <c r="L43" s="55"/>
      <c r="M43" s="54"/>
    </row>
    <row r="44" spans="1:20" x14ac:dyDescent="0.35">
      <c r="A44" s="49" t="s">
        <v>33</v>
      </c>
      <c r="B44" s="49" t="s">
        <v>10</v>
      </c>
      <c r="C44" s="49">
        <v>2</v>
      </c>
      <c r="D44" s="49" t="s">
        <v>78</v>
      </c>
      <c r="E44" s="49">
        <v>102.5</v>
      </c>
      <c r="F44" s="49">
        <v>1</v>
      </c>
      <c r="G44" s="49">
        <v>0.153</v>
      </c>
      <c r="H44" s="49">
        <v>0.20899999999999999</v>
      </c>
      <c r="I44" s="52"/>
      <c r="J44" s="52"/>
      <c r="K44" s="53"/>
      <c r="L44" s="56"/>
      <c r="M44" s="57"/>
    </row>
    <row r="45" spans="1:20" x14ac:dyDescent="0.35">
      <c r="A45" s="49" t="s">
        <v>33</v>
      </c>
      <c r="B45" s="49" t="s">
        <v>10</v>
      </c>
      <c r="C45" s="49">
        <v>2</v>
      </c>
      <c r="D45" s="49" t="s">
        <v>79</v>
      </c>
      <c r="E45" s="49">
        <v>109.9</v>
      </c>
      <c r="F45" s="49">
        <v>1</v>
      </c>
      <c r="G45" s="49">
        <v>0.11899999999999999</v>
      </c>
      <c r="H45" s="49">
        <v>9.5000000000000001E-2</v>
      </c>
      <c r="I45" s="52"/>
      <c r="J45" s="52"/>
      <c r="K45" s="53"/>
      <c r="L45" s="55"/>
      <c r="M45" s="57"/>
    </row>
    <row r="46" spans="1:20" x14ac:dyDescent="0.35">
      <c r="A46" s="49" t="s">
        <v>34</v>
      </c>
      <c r="B46" s="49" t="s">
        <v>10</v>
      </c>
      <c r="C46" s="49">
        <v>2</v>
      </c>
      <c r="D46" s="49" t="s">
        <v>78</v>
      </c>
      <c r="E46" s="49">
        <v>98.2</v>
      </c>
      <c r="F46" s="49">
        <v>1</v>
      </c>
      <c r="G46" s="49">
        <v>0.125</v>
      </c>
      <c r="H46" s="49">
        <v>0.19</v>
      </c>
      <c r="I46" s="52"/>
      <c r="J46" s="52"/>
      <c r="K46" s="53"/>
      <c r="L46" s="56"/>
      <c r="M46" s="57"/>
    </row>
    <row r="47" spans="1:20" x14ac:dyDescent="0.35">
      <c r="A47" s="49" t="s">
        <v>34</v>
      </c>
      <c r="B47" s="49" t="s">
        <v>10</v>
      </c>
      <c r="C47" s="49">
        <v>2</v>
      </c>
      <c r="D47" s="49" t="s">
        <v>79</v>
      </c>
      <c r="E47" s="49">
        <v>106.4</v>
      </c>
      <c r="F47" s="49">
        <v>1</v>
      </c>
      <c r="G47" s="49">
        <v>0.20799999999999999</v>
      </c>
      <c r="H47" s="49">
        <v>0.437</v>
      </c>
      <c r="I47" s="52"/>
      <c r="J47" s="52"/>
      <c r="K47" s="53"/>
      <c r="L47" s="55"/>
      <c r="M47" s="57"/>
    </row>
    <row r="48" spans="1:20" x14ac:dyDescent="0.35">
      <c r="A48" s="49" t="s">
        <v>35</v>
      </c>
      <c r="B48" s="49" t="s">
        <v>10</v>
      </c>
      <c r="C48" s="49">
        <v>2</v>
      </c>
      <c r="D48" s="49" t="s">
        <v>78</v>
      </c>
      <c r="E48" s="49">
        <v>86.9</v>
      </c>
      <c r="F48" s="49">
        <v>0.9</v>
      </c>
      <c r="G48" s="49">
        <v>0.158</v>
      </c>
      <c r="H48" s="49">
        <v>0.26600000000000001</v>
      </c>
      <c r="I48" s="52"/>
      <c r="J48" s="52"/>
      <c r="K48" s="53"/>
      <c r="L48" s="56"/>
      <c r="M48" s="57"/>
    </row>
    <row r="49" spans="1:13" x14ac:dyDescent="0.35">
      <c r="A49" s="49" t="s">
        <v>35</v>
      </c>
      <c r="B49" s="49" t="s">
        <v>10</v>
      </c>
      <c r="C49" s="49">
        <v>2</v>
      </c>
      <c r="D49" s="49" t="s">
        <v>79</v>
      </c>
      <c r="E49" s="49">
        <v>93</v>
      </c>
      <c r="F49" s="49">
        <v>1</v>
      </c>
      <c r="G49" s="49">
        <v>0.11899999999999999</v>
      </c>
      <c r="H49" s="49">
        <v>0.22900000000000001</v>
      </c>
      <c r="I49" s="52"/>
      <c r="J49" s="52"/>
      <c r="K49" s="53"/>
      <c r="L49" s="55"/>
      <c r="M49" s="57"/>
    </row>
    <row r="50" spans="1:13" x14ac:dyDescent="0.35">
      <c r="A50" s="49" t="s">
        <v>36</v>
      </c>
      <c r="B50" s="49" t="s">
        <v>10</v>
      </c>
      <c r="C50" s="49">
        <v>2</v>
      </c>
      <c r="D50" s="49" t="s">
        <v>78</v>
      </c>
      <c r="E50" s="49">
        <v>97</v>
      </c>
      <c r="F50" s="49">
        <v>1</v>
      </c>
      <c r="G50" s="49">
        <v>0.254</v>
      </c>
      <c r="H50" s="49">
        <v>0.49299999999999999</v>
      </c>
      <c r="I50" s="52"/>
      <c r="J50" s="52"/>
      <c r="K50" s="53"/>
      <c r="L50" s="56"/>
      <c r="M50" s="57"/>
    </row>
    <row r="51" spans="1:13" x14ac:dyDescent="0.35">
      <c r="A51" s="49" t="s">
        <v>36</v>
      </c>
      <c r="B51" s="49" t="s">
        <v>10</v>
      </c>
      <c r="C51" s="49">
        <v>2</v>
      </c>
      <c r="D51" s="49" t="s">
        <v>79</v>
      </c>
      <c r="E51" s="49">
        <v>99.7</v>
      </c>
      <c r="F51" s="49">
        <v>1</v>
      </c>
      <c r="G51" s="49">
        <v>0.19600000000000001</v>
      </c>
      <c r="H51" s="49">
        <v>0.29599999999999999</v>
      </c>
      <c r="I51" s="52"/>
      <c r="J51" s="52"/>
      <c r="K51" s="53"/>
      <c r="L51" s="55"/>
      <c r="M51" s="57"/>
    </row>
    <row r="52" spans="1:13" x14ac:dyDescent="0.35">
      <c r="A52" s="49" t="s">
        <v>42</v>
      </c>
      <c r="B52" s="49" t="s">
        <v>7</v>
      </c>
      <c r="C52" s="49">
        <v>2</v>
      </c>
      <c r="D52" s="49" t="s">
        <v>78</v>
      </c>
      <c r="E52" s="49">
        <v>106.7</v>
      </c>
      <c r="F52" s="49">
        <v>1</v>
      </c>
      <c r="G52" s="49">
        <v>0.20300000000000001</v>
      </c>
      <c r="H52" s="49">
        <v>0.13900000000000001</v>
      </c>
      <c r="I52" s="52"/>
      <c r="J52" s="52"/>
      <c r="K52" s="53"/>
      <c r="L52" s="56"/>
      <c r="M52" s="57"/>
    </row>
    <row r="53" spans="1:13" x14ac:dyDescent="0.35">
      <c r="A53" s="49" t="s">
        <v>42</v>
      </c>
      <c r="B53" s="49" t="s">
        <v>7</v>
      </c>
      <c r="C53" s="49">
        <v>2</v>
      </c>
      <c r="D53" s="49" t="s">
        <v>79</v>
      </c>
      <c r="E53" s="49">
        <v>102</v>
      </c>
      <c r="F53" s="49">
        <v>1</v>
      </c>
      <c r="G53" s="49">
        <v>0.159</v>
      </c>
      <c r="H53" s="49">
        <v>0.217</v>
      </c>
      <c r="I53" s="52"/>
      <c r="J53" s="52"/>
      <c r="K53" s="53"/>
      <c r="L53" s="55"/>
      <c r="M53" s="57"/>
    </row>
    <row r="54" spans="1:13" x14ac:dyDescent="0.35">
      <c r="A54" s="49" t="s">
        <v>43</v>
      </c>
      <c r="B54" s="49" t="s">
        <v>7</v>
      </c>
      <c r="C54" s="49">
        <v>2</v>
      </c>
      <c r="D54" s="49" t="s">
        <v>78</v>
      </c>
      <c r="E54" s="49">
        <v>106.7</v>
      </c>
      <c r="F54" s="49">
        <v>1</v>
      </c>
      <c r="G54" s="49">
        <v>0.20399999999999999</v>
      </c>
      <c r="H54" s="49">
        <v>0.23499999999999999</v>
      </c>
      <c r="I54" s="52"/>
      <c r="J54" s="52"/>
      <c r="K54" s="53"/>
      <c r="L54" s="56"/>
      <c r="M54" s="57"/>
    </row>
    <row r="55" spans="1:13" x14ac:dyDescent="0.35">
      <c r="A55" s="49" t="s">
        <v>43</v>
      </c>
      <c r="B55" s="49" t="s">
        <v>7</v>
      </c>
      <c r="C55" s="49">
        <v>2</v>
      </c>
      <c r="D55" s="49" t="s">
        <v>79</v>
      </c>
      <c r="E55" s="49">
        <v>103.5</v>
      </c>
      <c r="F55" s="49">
        <v>1</v>
      </c>
      <c r="G55" s="49">
        <v>0.156</v>
      </c>
      <c r="H55" s="49">
        <v>0.16800000000000001</v>
      </c>
      <c r="I55" s="52"/>
      <c r="J55" s="52"/>
      <c r="K55" s="53"/>
      <c r="L55" s="55"/>
      <c r="M55" s="57"/>
    </row>
    <row r="56" spans="1:13" x14ac:dyDescent="0.35">
      <c r="A56" s="49" t="s">
        <v>45</v>
      </c>
      <c r="B56" s="49" t="s">
        <v>7</v>
      </c>
      <c r="C56" s="49">
        <v>2</v>
      </c>
      <c r="D56" s="49" t="s">
        <v>78</v>
      </c>
      <c r="E56" s="49">
        <v>107.8</v>
      </c>
      <c r="F56" s="49">
        <v>1</v>
      </c>
      <c r="G56" s="49">
        <v>0.22</v>
      </c>
      <c r="H56" s="49">
        <v>0.25</v>
      </c>
      <c r="I56" s="52"/>
      <c r="J56" s="52"/>
      <c r="K56" s="53"/>
      <c r="L56" s="56"/>
      <c r="M56" s="57"/>
    </row>
    <row r="57" spans="1:13" x14ac:dyDescent="0.35">
      <c r="A57" s="49" t="s">
        <v>45</v>
      </c>
      <c r="B57" s="49" t="s">
        <v>7</v>
      </c>
      <c r="C57" s="49">
        <v>2</v>
      </c>
      <c r="D57" s="49" t="s">
        <v>79</v>
      </c>
      <c r="E57" s="49">
        <v>102</v>
      </c>
      <c r="F57" s="49">
        <v>1</v>
      </c>
      <c r="G57" s="49">
        <v>0.48099999999999998</v>
      </c>
      <c r="H57" s="49">
        <v>0.85899999999999999</v>
      </c>
      <c r="I57" s="52"/>
      <c r="J57" s="52"/>
      <c r="K57" s="53"/>
      <c r="L57" s="55"/>
      <c r="M57" s="57"/>
    </row>
    <row r="58" spans="1:13" x14ac:dyDescent="0.35">
      <c r="A58" s="49" t="s">
        <v>46</v>
      </c>
      <c r="B58" s="49" t="s">
        <v>7</v>
      </c>
      <c r="C58" s="49">
        <v>2</v>
      </c>
      <c r="D58" s="49" t="s">
        <v>78</v>
      </c>
      <c r="E58" s="49">
        <v>101.8</v>
      </c>
      <c r="F58" s="49">
        <v>1</v>
      </c>
      <c r="G58" s="49">
        <v>0.16300000000000001</v>
      </c>
      <c r="H58" s="49">
        <v>0.151</v>
      </c>
      <c r="I58" s="52"/>
      <c r="J58" s="52"/>
      <c r="K58" s="53"/>
      <c r="L58" s="56"/>
      <c r="M58" s="57"/>
    </row>
    <row r="59" spans="1:13" x14ac:dyDescent="0.35">
      <c r="A59" s="49" t="s">
        <v>46</v>
      </c>
      <c r="B59" s="49" t="s">
        <v>7</v>
      </c>
      <c r="C59" s="49">
        <v>2</v>
      </c>
      <c r="D59" s="49" t="s">
        <v>79</v>
      </c>
      <c r="E59" s="49">
        <v>103.1</v>
      </c>
      <c r="F59" s="49">
        <v>1</v>
      </c>
      <c r="G59" s="49">
        <v>0.24099999999999999</v>
      </c>
      <c r="H59" s="49">
        <v>0.20399999999999999</v>
      </c>
      <c r="I59" s="52"/>
      <c r="J59" s="52"/>
      <c r="K59" s="53"/>
      <c r="L59" s="55"/>
      <c r="M59" s="57"/>
    </row>
    <row r="60" spans="1:13" x14ac:dyDescent="0.35">
      <c r="A60" s="49" t="s">
        <v>47</v>
      </c>
      <c r="B60" s="49" t="s">
        <v>7</v>
      </c>
      <c r="C60" s="49">
        <v>2</v>
      </c>
      <c r="D60" s="49" t="s">
        <v>78</v>
      </c>
      <c r="E60" s="49">
        <v>108</v>
      </c>
      <c r="F60" s="49">
        <v>1</v>
      </c>
      <c r="G60" s="49">
        <v>0.28999999999999998</v>
      </c>
      <c r="H60" s="49">
        <v>0.41799999999999998</v>
      </c>
      <c r="I60" s="52"/>
      <c r="J60" s="52"/>
      <c r="K60" s="53"/>
      <c r="L60" s="56"/>
      <c r="M60" s="54"/>
    </row>
    <row r="61" spans="1:13" x14ac:dyDescent="0.35">
      <c r="A61" s="49" t="s">
        <v>47</v>
      </c>
      <c r="B61" s="49" t="s">
        <v>7</v>
      </c>
      <c r="C61" s="49">
        <v>2</v>
      </c>
      <c r="D61" s="49" t="s">
        <v>79</v>
      </c>
      <c r="E61" s="49">
        <v>108.6</v>
      </c>
      <c r="F61" s="49">
        <v>1</v>
      </c>
      <c r="G61" s="49">
        <v>0.16400000000000001</v>
      </c>
      <c r="H61" s="49">
        <v>0.222</v>
      </c>
      <c r="I61" s="52"/>
      <c r="J61" s="52"/>
      <c r="K61" s="53"/>
      <c r="L61" s="55"/>
      <c r="M61" s="54"/>
    </row>
    <row r="62" spans="1:13" x14ac:dyDescent="0.35">
      <c r="A62" s="49" t="s">
        <v>52</v>
      </c>
      <c r="B62" s="49" t="s">
        <v>4</v>
      </c>
      <c r="C62" s="49">
        <v>2</v>
      </c>
      <c r="D62" s="49" t="s">
        <v>78</v>
      </c>
      <c r="E62" s="49">
        <v>102.3</v>
      </c>
      <c r="F62" s="49">
        <v>1</v>
      </c>
      <c r="G62" s="49">
        <v>0.129</v>
      </c>
      <c r="H62" s="49">
        <v>0.16900000000000001</v>
      </c>
      <c r="I62" s="52"/>
      <c r="J62" s="52"/>
      <c r="K62" s="53"/>
      <c r="L62" s="56"/>
      <c r="M62" s="57"/>
    </row>
    <row r="63" spans="1:13" x14ac:dyDescent="0.35">
      <c r="A63" s="49" t="s">
        <v>52</v>
      </c>
      <c r="B63" s="49" t="s">
        <v>4</v>
      </c>
      <c r="C63" s="49">
        <v>2</v>
      </c>
      <c r="D63" s="49" t="s">
        <v>79</v>
      </c>
      <c r="E63" s="49">
        <v>103.5</v>
      </c>
      <c r="F63" s="49">
        <v>1</v>
      </c>
      <c r="G63" s="49">
        <v>0.154</v>
      </c>
      <c r="H63" s="49">
        <v>0.221</v>
      </c>
      <c r="I63" s="52"/>
      <c r="J63" s="52"/>
      <c r="K63" s="53"/>
      <c r="L63" s="55"/>
      <c r="M63" s="57"/>
    </row>
    <row r="64" spans="1:13" x14ac:dyDescent="0.35">
      <c r="A64" s="49" t="s">
        <v>58</v>
      </c>
      <c r="B64" s="49" t="s">
        <v>4</v>
      </c>
      <c r="C64" s="49">
        <v>2</v>
      </c>
      <c r="D64" s="49" t="s">
        <v>78</v>
      </c>
      <c r="E64" s="49">
        <v>102.2</v>
      </c>
      <c r="F64" s="49">
        <v>1</v>
      </c>
      <c r="G64" s="49">
        <v>0.22</v>
      </c>
      <c r="H64" s="49">
        <v>0.38200000000000001</v>
      </c>
      <c r="I64" s="52"/>
      <c r="J64" s="52"/>
      <c r="K64" s="53"/>
      <c r="L64" s="56"/>
      <c r="M64" s="57"/>
    </row>
    <row r="65" spans="1:13" x14ac:dyDescent="0.35">
      <c r="A65" s="49" t="s">
        <v>58</v>
      </c>
      <c r="B65" s="49" t="s">
        <v>4</v>
      </c>
      <c r="C65" s="49">
        <v>2</v>
      </c>
      <c r="D65" s="49" t="s">
        <v>79</v>
      </c>
      <c r="E65" s="49">
        <v>99.5</v>
      </c>
      <c r="F65" s="49">
        <v>1</v>
      </c>
      <c r="G65" s="49">
        <v>0.125</v>
      </c>
      <c r="H65" s="49">
        <v>0.14399999999999999</v>
      </c>
      <c r="I65" s="52"/>
      <c r="J65" s="52"/>
      <c r="K65" s="53"/>
      <c r="L65" s="55"/>
      <c r="M65" s="57"/>
    </row>
    <row r="66" spans="1:13" x14ac:dyDescent="0.35">
      <c r="A66" s="49" t="s">
        <v>54</v>
      </c>
      <c r="B66" s="49" t="s">
        <v>4</v>
      </c>
      <c r="C66" s="49">
        <v>2</v>
      </c>
      <c r="D66" s="49" t="s">
        <v>78</v>
      </c>
      <c r="E66" s="49">
        <v>106.6</v>
      </c>
      <c r="F66" s="49">
        <v>1</v>
      </c>
      <c r="G66" s="49">
        <v>0.184</v>
      </c>
      <c r="H66" s="49">
        <v>0.28399999999999997</v>
      </c>
      <c r="I66" s="52"/>
      <c r="J66" s="52"/>
      <c r="K66" s="53"/>
      <c r="L66" s="56"/>
      <c r="M66" s="54"/>
    </row>
    <row r="67" spans="1:13" x14ac:dyDescent="0.35">
      <c r="A67" s="49" t="s">
        <v>54</v>
      </c>
      <c r="B67" s="49" t="s">
        <v>4</v>
      </c>
      <c r="C67" s="49">
        <v>2</v>
      </c>
      <c r="D67" s="49" t="s">
        <v>79</v>
      </c>
      <c r="E67" s="49">
        <v>99.9</v>
      </c>
      <c r="F67" s="49">
        <v>1</v>
      </c>
      <c r="G67" s="49">
        <v>0.13400000000000001</v>
      </c>
      <c r="H67" s="49">
        <v>0.19700000000000001</v>
      </c>
      <c r="I67" s="52"/>
      <c r="J67" s="52"/>
      <c r="K67" s="53"/>
      <c r="L67" s="55"/>
      <c r="M67" s="54"/>
    </row>
    <row r="68" spans="1:13" x14ac:dyDescent="0.35">
      <c r="A68" s="49" t="s">
        <v>55</v>
      </c>
      <c r="B68" s="49" t="s">
        <v>4</v>
      </c>
      <c r="C68" s="49">
        <v>2</v>
      </c>
      <c r="D68" s="49" t="s">
        <v>78</v>
      </c>
      <c r="E68" s="49">
        <v>107</v>
      </c>
      <c r="F68" s="49">
        <v>1</v>
      </c>
      <c r="G68" s="49">
        <v>0.20699999999999999</v>
      </c>
      <c r="H68" s="49">
        <v>0.33400000000000002</v>
      </c>
      <c r="I68" s="52"/>
      <c r="J68" s="52"/>
      <c r="K68" s="53"/>
      <c r="L68" s="56"/>
      <c r="M68" s="57"/>
    </row>
    <row r="69" spans="1:13" x14ac:dyDescent="0.35">
      <c r="A69" s="49" t="s">
        <v>55</v>
      </c>
      <c r="B69" s="49" t="s">
        <v>4</v>
      </c>
      <c r="C69" s="49">
        <v>2</v>
      </c>
      <c r="D69" s="49" t="s">
        <v>79</v>
      </c>
      <c r="E69" s="49">
        <v>106.6</v>
      </c>
      <c r="F69" s="49">
        <v>1</v>
      </c>
      <c r="G69" s="49">
        <v>0.155</v>
      </c>
      <c r="H69" s="49">
        <v>0.23300000000000001</v>
      </c>
      <c r="I69" s="52"/>
      <c r="J69" s="52"/>
      <c r="K69" s="53"/>
      <c r="L69" s="55"/>
      <c r="M69" s="57"/>
    </row>
    <row r="70" spans="1:13" x14ac:dyDescent="0.35">
      <c r="A70" s="49" t="s">
        <v>56</v>
      </c>
      <c r="B70" s="49" t="s">
        <v>4</v>
      </c>
      <c r="C70" s="49">
        <v>2</v>
      </c>
      <c r="D70" s="49" t="s">
        <v>78</v>
      </c>
      <c r="E70" s="49">
        <v>96.2</v>
      </c>
      <c r="F70" s="49">
        <v>1</v>
      </c>
      <c r="G70" s="49">
        <v>0.17399999999999999</v>
      </c>
      <c r="H70" s="49">
        <v>0.17199999999999999</v>
      </c>
      <c r="I70" s="52"/>
      <c r="J70" s="52"/>
      <c r="K70" s="53"/>
      <c r="L70" s="56"/>
      <c r="M70" s="54"/>
    </row>
    <row r="71" spans="1:13" x14ac:dyDescent="0.35">
      <c r="A71" s="49" t="s">
        <v>56</v>
      </c>
      <c r="B71" s="49" t="s">
        <v>4</v>
      </c>
      <c r="C71" s="49">
        <v>2</v>
      </c>
      <c r="D71" s="49" t="s">
        <v>79</v>
      </c>
      <c r="E71" s="49">
        <v>101.7</v>
      </c>
      <c r="F71" s="49">
        <v>1</v>
      </c>
      <c r="G71" s="49">
        <v>0.14199999999999999</v>
      </c>
      <c r="H71" s="49">
        <v>0.16</v>
      </c>
      <c r="I71" s="52"/>
      <c r="J71" s="52"/>
      <c r="K71" s="53"/>
      <c r="L71" s="55"/>
      <c r="M71" s="54"/>
    </row>
    <row r="72" spans="1:13" x14ac:dyDescent="0.35">
      <c r="A72" s="49" t="s">
        <v>62</v>
      </c>
      <c r="B72" s="49" t="s">
        <v>3</v>
      </c>
      <c r="C72" s="49">
        <v>2</v>
      </c>
      <c r="D72" s="49" t="s">
        <v>78</v>
      </c>
      <c r="E72" s="49">
        <v>103.1</v>
      </c>
      <c r="F72" s="49">
        <v>1</v>
      </c>
      <c r="G72" s="49">
        <v>0.20899999999999999</v>
      </c>
      <c r="H72" s="49">
        <v>0.23</v>
      </c>
      <c r="I72" s="52"/>
      <c r="J72" s="52"/>
      <c r="K72" s="53"/>
      <c r="L72" s="56"/>
      <c r="M72" s="57"/>
    </row>
    <row r="73" spans="1:13" x14ac:dyDescent="0.35">
      <c r="A73" s="49" t="s">
        <v>62</v>
      </c>
      <c r="B73" s="49" t="s">
        <v>3</v>
      </c>
      <c r="C73" s="49">
        <v>2</v>
      </c>
      <c r="D73" s="49" t="s">
        <v>79</v>
      </c>
      <c r="E73" s="49">
        <v>108.8</v>
      </c>
      <c r="F73" s="49">
        <v>1</v>
      </c>
      <c r="G73" s="49">
        <v>0.14899999999999999</v>
      </c>
      <c r="H73" s="49">
        <v>0.13</v>
      </c>
      <c r="I73" s="52"/>
      <c r="J73" s="52"/>
      <c r="K73" s="53"/>
      <c r="L73" s="55"/>
      <c r="M73" s="57"/>
    </row>
    <row r="74" spans="1:13" x14ac:dyDescent="0.35">
      <c r="A74" s="49" t="s">
        <v>63</v>
      </c>
      <c r="B74" s="49" t="s">
        <v>3</v>
      </c>
      <c r="C74" s="49">
        <v>2</v>
      </c>
      <c r="D74" s="49" t="s">
        <v>78</v>
      </c>
      <c r="E74" s="49">
        <v>108.3</v>
      </c>
      <c r="F74" s="49">
        <v>1</v>
      </c>
      <c r="G74" s="49">
        <v>0.122</v>
      </c>
      <c r="H74" s="49">
        <v>0.105</v>
      </c>
      <c r="I74" s="52"/>
      <c r="J74" s="52"/>
      <c r="K74" s="53"/>
      <c r="L74" s="56"/>
      <c r="M74" s="57"/>
    </row>
    <row r="75" spans="1:13" x14ac:dyDescent="0.35">
      <c r="A75" s="49" t="s">
        <v>63</v>
      </c>
      <c r="B75" s="49" t="s">
        <v>3</v>
      </c>
      <c r="C75" s="49">
        <v>2</v>
      </c>
      <c r="D75" s="49" t="s">
        <v>79</v>
      </c>
      <c r="E75" s="49">
        <v>104.6</v>
      </c>
      <c r="F75" s="49">
        <v>1</v>
      </c>
      <c r="G75" s="49">
        <v>0.115</v>
      </c>
      <c r="H75" s="49">
        <v>0.11799999999999999</v>
      </c>
      <c r="I75" s="52"/>
      <c r="J75" s="52"/>
      <c r="K75" s="53"/>
      <c r="L75" s="55"/>
      <c r="M75" s="57"/>
    </row>
    <row r="76" spans="1:13" x14ac:dyDescent="0.35">
      <c r="A76" s="49" t="s">
        <v>64</v>
      </c>
      <c r="B76" s="49" t="s">
        <v>3</v>
      </c>
      <c r="C76" s="49">
        <v>2</v>
      </c>
      <c r="D76" s="49" t="s">
        <v>78</v>
      </c>
      <c r="E76" s="49">
        <v>102.7</v>
      </c>
      <c r="F76" s="49">
        <v>1</v>
      </c>
      <c r="G76" s="49">
        <v>0.16600000000000001</v>
      </c>
      <c r="H76" s="49">
        <v>0.19800000000000001</v>
      </c>
      <c r="I76" s="52"/>
      <c r="J76" s="52"/>
      <c r="K76" s="53"/>
      <c r="L76" s="56"/>
      <c r="M76" s="57"/>
    </row>
    <row r="77" spans="1:13" x14ac:dyDescent="0.35">
      <c r="A77" s="49" t="s">
        <v>64</v>
      </c>
      <c r="B77" s="49" t="s">
        <v>3</v>
      </c>
      <c r="C77" s="49">
        <v>2</v>
      </c>
      <c r="D77" s="49" t="s">
        <v>79</v>
      </c>
      <c r="E77" s="49">
        <v>108.4</v>
      </c>
      <c r="F77" s="49">
        <v>1</v>
      </c>
      <c r="G77" s="49">
        <v>0.17499999999999999</v>
      </c>
      <c r="H77" s="49">
        <v>0.20100000000000001</v>
      </c>
      <c r="I77" s="52"/>
      <c r="J77" s="52"/>
      <c r="K77" s="53"/>
      <c r="L77" s="55"/>
      <c r="M77" s="57"/>
    </row>
    <row r="78" spans="1:13" x14ac:dyDescent="0.35">
      <c r="A78" s="49" t="s">
        <v>65</v>
      </c>
      <c r="B78" s="49" t="s">
        <v>3</v>
      </c>
      <c r="C78" s="49">
        <v>2</v>
      </c>
      <c r="D78" s="49" t="s">
        <v>78</v>
      </c>
      <c r="E78" s="49">
        <v>109.4</v>
      </c>
      <c r="F78" s="49">
        <v>1</v>
      </c>
      <c r="G78" s="49">
        <v>0.2</v>
      </c>
      <c r="H78" s="49">
        <v>0.27700000000000002</v>
      </c>
      <c r="I78" s="52"/>
      <c r="J78" s="52"/>
      <c r="K78" s="53"/>
      <c r="L78" s="56"/>
      <c r="M78" s="57"/>
    </row>
    <row r="79" spans="1:13" x14ac:dyDescent="0.35">
      <c r="A79" s="49" t="s">
        <v>65</v>
      </c>
      <c r="B79" s="49" t="s">
        <v>3</v>
      </c>
      <c r="C79" s="49">
        <v>2</v>
      </c>
      <c r="D79" s="49" t="s">
        <v>79</v>
      </c>
      <c r="E79" s="49">
        <v>103.6</v>
      </c>
      <c r="F79" s="49">
        <v>1</v>
      </c>
      <c r="G79" s="49">
        <v>0.17699999999999999</v>
      </c>
      <c r="H79" s="49">
        <v>0.252</v>
      </c>
      <c r="I79" s="52"/>
      <c r="J79" s="52"/>
      <c r="K79" s="53"/>
      <c r="L79" s="55"/>
      <c r="M79" s="57"/>
    </row>
    <row r="80" spans="1:13" x14ac:dyDescent="0.35">
      <c r="A80" s="49" t="s">
        <v>66</v>
      </c>
      <c r="B80" s="49" t="s">
        <v>3</v>
      </c>
      <c r="C80" s="49">
        <v>2</v>
      </c>
      <c r="D80" s="49" t="s">
        <v>78</v>
      </c>
      <c r="E80" s="49">
        <v>102.6</v>
      </c>
      <c r="F80" s="49">
        <v>1</v>
      </c>
      <c r="G80" s="49">
        <v>8.5000000000000006E-2</v>
      </c>
      <c r="H80" s="49">
        <v>6.6000000000000003E-2</v>
      </c>
      <c r="I80" s="52"/>
      <c r="J80" s="52"/>
      <c r="K80" s="53"/>
      <c r="L80" s="56"/>
      <c r="M80" s="54"/>
    </row>
    <row r="81" spans="1:13" x14ac:dyDescent="0.35">
      <c r="A81" s="49" t="s">
        <v>66</v>
      </c>
      <c r="B81" s="49" t="s">
        <v>3</v>
      </c>
      <c r="C81" s="49">
        <v>2</v>
      </c>
      <c r="D81" s="49" t="s">
        <v>79</v>
      </c>
      <c r="E81" s="49">
        <v>104.2</v>
      </c>
      <c r="F81" s="49">
        <v>1</v>
      </c>
      <c r="G81" s="49">
        <v>0.13700000000000001</v>
      </c>
      <c r="H81" s="49">
        <v>0.14599999999999999</v>
      </c>
      <c r="I81" s="52"/>
      <c r="J81" s="52"/>
      <c r="K81" s="53"/>
      <c r="L81" s="55"/>
      <c r="M81" s="54"/>
    </row>
    <row r="82" spans="1:13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5"/>
      <c r="M82" s="55"/>
    </row>
    <row r="83" spans="1:13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5"/>
      <c r="M83" s="55"/>
    </row>
    <row r="84" spans="1:13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5"/>
      <c r="M84" s="55"/>
    </row>
    <row r="85" spans="1:13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5"/>
      <c r="M85" s="55"/>
    </row>
    <row r="86" spans="1:13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5"/>
      <c r="M86" s="55"/>
    </row>
    <row r="87" spans="1:13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5"/>
      <c r="M87" s="55"/>
    </row>
    <row r="88" spans="1:13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5"/>
      <c r="M88" s="55"/>
    </row>
    <row r="89" spans="1:13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5"/>
      <c r="M89" s="55"/>
    </row>
    <row r="90" spans="1:13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5"/>
      <c r="M90" s="55"/>
    </row>
    <row r="91" spans="1:13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5"/>
      <c r="M91" s="55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36:O37"/>
    <mergeCell ref="P36:P37"/>
    <mergeCell ref="O38:O39"/>
    <mergeCell ref="P38:P39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O18:O19"/>
    <mergeCell ref="P18:P19"/>
    <mergeCell ref="O20:O21"/>
    <mergeCell ref="P20:P21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:L3"/>
    <mergeCell ref="M2:M3"/>
    <mergeCell ref="L4:L5"/>
    <mergeCell ref="M4:M5"/>
    <mergeCell ref="L6:L7"/>
    <mergeCell ref="M6:M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Y50"/>
  <sheetViews>
    <sheetView zoomScale="70" zoomScaleNormal="70" workbookViewId="0">
      <selection activeCell="E25" sqref="E25:E26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1796875" style="8" bestFit="1" customWidth="1"/>
    <col min="10" max="10" width="15.08984375" style="8" bestFit="1" customWidth="1"/>
    <col min="11" max="12" width="12.6328125" style="8" customWidth="1"/>
    <col min="13" max="15" width="10.90625" style="8"/>
    <col min="16" max="16" width="11" style="8" bestFit="1" customWidth="1"/>
    <col min="17" max="17" width="13.26953125" style="8" customWidth="1"/>
    <col min="18" max="18" width="13.90625" style="8" bestFit="1" customWidth="1"/>
    <col min="19" max="20" width="15.1796875" style="8" bestFit="1" customWidth="1"/>
    <col min="21" max="21" width="11.81640625" style="8" customWidth="1"/>
    <col min="22" max="22" width="10.90625" style="8"/>
    <col min="23" max="23" width="12.7265625" style="8" bestFit="1" customWidth="1"/>
    <col min="24" max="16384" width="10.90625" style="8"/>
  </cols>
  <sheetData>
    <row r="1" spans="1:25" x14ac:dyDescent="0.35">
      <c r="B1" s="17"/>
      <c r="C1" s="34" t="s">
        <v>90</v>
      </c>
      <c r="D1" s="34"/>
      <c r="E1" s="34"/>
      <c r="F1" s="34"/>
      <c r="G1" s="34"/>
      <c r="H1" s="34"/>
      <c r="I1" s="34"/>
      <c r="J1" s="34"/>
      <c r="K1" s="34"/>
      <c r="L1" s="35" t="s">
        <v>91</v>
      </c>
      <c r="M1" s="35"/>
      <c r="N1" s="35"/>
      <c r="O1" s="35"/>
      <c r="P1" s="35"/>
      <c r="Q1" s="35"/>
      <c r="R1" s="35"/>
      <c r="S1" s="35"/>
      <c r="T1" s="35"/>
      <c r="U1" s="35"/>
    </row>
    <row r="2" spans="1:25" x14ac:dyDescent="0.35">
      <c r="A2" s="9" t="s">
        <v>0</v>
      </c>
      <c r="B2" s="6" t="s">
        <v>108</v>
      </c>
      <c r="C2" s="10" t="s">
        <v>92</v>
      </c>
      <c r="D2" s="10" t="s">
        <v>93</v>
      </c>
      <c r="E2" s="10" t="s">
        <v>98</v>
      </c>
      <c r="F2" s="10" t="s">
        <v>95</v>
      </c>
      <c r="G2" s="10" t="s">
        <v>96</v>
      </c>
      <c r="H2" s="6" t="s">
        <v>109</v>
      </c>
      <c r="I2" s="14" t="s">
        <v>110</v>
      </c>
      <c r="J2" s="18" t="s">
        <v>97</v>
      </c>
      <c r="K2" s="18" t="s">
        <v>98</v>
      </c>
      <c r="L2" s="6" t="s">
        <v>108</v>
      </c>
      <c r="M2" s="10" t="s">
        <v>92</v>
      </c>
      <c r="N2" s="10" t="s">
        <v>93</v>
      </c>
      <c r="O2" s="10" t="s">
        <v>98</v>
      </c>
      <c r="P2" s="10" t="s">
        <v>95</v>
      </c>
      <c r="Q2" s="10" t="s">
        <v>96</v>
      </c>
      <c r="R2" s="6" t="s">
        <v>109</v>
      </c>
      <c r="S2" s="14" t="s">
        <v>110</v>
      </c>
      <c r="T2" s="18" t="s">
        <v>97</v>
      </c>
      <c r="U2" s="18" t="s">
        <v>98</v>
      </c>
    </row>
    <row r="3" spans="1:25" x14ac:dyDescent="0.35">
      <c r="A3" s="8">
        <v>1</v>
      </c>
      <c r="C3" s="8">
        <v>-10.896000000000001</v>
      </c>
      <c r="D3" s="30">
        <f>AVERAGE(C3:C6)</f>
        <v>-11.659500000000001</v>
      </c>
      <c r="E3" s="32">
        <f>(_xlfn.STDEV.S(C3:C6)/SQRT(4))/-D3</f>
        <v>3.527962788613908E-2</v>
      </c>
      <c r="F3" s="31">
        <f>D3/1000</f>
        <v>-1.1659500000000001E-2</v>
      </c>
      <c r="G3" s="31">
        <f>-(F3*$X$7*$X$8)/($X$9*$X$10*$X$11*10^-3)</f>
        <v>157.10965133906018</v>
      </c>
      <c r="H3" s="31"/>
      <c r="I3" s="31"/>
      <c r="J3" s="31">
        <f>AVERAGE(G3:G20)</f>
        <v>204.87552636011455</v>
      </c>
      <c r="K3" s="32">
        <f>(_xlfn.STDEV.S(G3:G20)/SQRT(5))/J3</f>
        <v>8.2816982769647968E-2</v>
      </c>
      <c r="L3" s="16"/>
      <c r="M3" s="8">
        <v>-35.277000000000001</v>
      </c>
      <c r="N3" s="30">
        <f>AVERAGE(M3:M4)</f>
        <v>-31.945999999999998</v>
      </c>
      <c r="O3" s="32">
        <f>(_xlfn.STDEV.S(M3:M4)/SQRT(2))/-N3</f>
        <v>0.10426970512740237</v>
      </c>
      <c r="P3" s="31">
        <f>N3/1000</f>
        <v>-3.1945999999999995E-2</v>
      </c>
      <c r="Q3" s="31">
        <f>-(P3*$X$7*$X$8)/($X$9*$X$10*$X$11*10^-3)</f>
        <v>430.46656560552469</v>
      </c>
      <c r="R3" s="31"/>
      <c r="S3" s="31"/>
      <c r="T3" s="31">
        <f>AVERAGE(Q3:Q20)</f>
        <v>345.5832912245242</v>
      </c>
      <c r="U3" s="32">
        <f>(_xlfn.STDEV.S(Q3:Q20)/SQRT(5))/T3</f>
        <v>6.9574139493301865E-2</v>
      </c>
    </row>
    <row r="4" spans="1:25" x14ac:dyDescent="0.35">
      <c r="A4" s="8">
        <v>1</v>
      </c>
      <c r="C4" s="8">
        <v>-12.378</v>
      </c>
      <c r="D4" s="30"/>
      <c r="E4" s="32"/>
      <c r="F4" s="31"/>
      <c r="G4" s="31"/>
      <c r="H4" s="31"/>
      <c r="I4" s="31"/>
      <c r="J4" s="31"/>
      <c r="K4" s="32"/>
      <c r="L4" s="16"/>
      <c r="M4" s="8">
        <v>-28.614999999999998</v>
      </c>
      <c r="N4" s="30"/>
      <c r="O4" s="32"/>
      <c r="P4" s="31"/>
      <c r="Q4" s="31"/>
      <c r="R4" s="31"/>
      <c r="S4" s="31"/>
      <c r="T4" s="31"/>
      <c r="U4" s="32"/>
    </row>
    <row r="5" spans="1:25" x14ac:dyDescent="0.35">
      <c r="A5" s="8">
        <v>1</v>
      </c>
      <c r="C5" s="8">
        <v>-11</v>
      </c>
      <c r="D5" s="30"/>
      <c r="E5" s="32"/>
      <c r="F5" s="31"/>
      <c r="G5" s="31"/>
      <c r="H5" s="31"/>
      <c r="I5" s="31"/>
      <c r="J5" s="31"/>
      <c r="K5" s="32"/>
      <c r="L5" s="16"/>
      <c r="M5" s="19"/>
      <c r="N5" s="19"/>
      <c r="O5" s="33"/>
      <c r="P5" s="31"/>
      <c r="Q5" s="31"/>
      <c r="R5" s="31"/>
      <c r="S5" s="31"/>
      <c r="T5" s="31"/>
      <c r="U5" s="32"/>
    </row>
    <row r="6" spans="1:25" x14ac:dyDescent="0.35">
      <c r="A6" s="8">
        <v>1</v>
      </c>
      <c r="C6" s="8">
        <v>-12.364000000000001</v>
      </c>
      <c r="D6" s="30"/>
      <c r="E6" s="32"/>
      <c r="F6" s="31"/>
      <c r="G6" s="31"/>
      <c r="H6" s="31"/>
      <c r="I6" s="31"/>
      <c r="J6" s="31"/>
      <c r="K6" s="32"/>
      <c r="L6" s="16"/>
      <c r="M6" s="19"/>
      <c r="N6" s="19"/>
      <c r="O6" s="33"/>
      <c r="P6" s="31"/>
      <c r="Q6" s="31"/>
      <c r="R6" s="31"/>
      <c r="S6" s="31"/>
      <c r="T6" s="31"/>
      <c r="U6" s="32"/>
    </row>
    <row r="7" spans="1:25" x14ac:dyDescent="0.35">
      <c r="A7" s="8">
        <v>2</v>
      </c>
      <c r="C7" s="8">
        <v>-12.462</v>
      </c>
      <c r="D7" s="30">
        <f t="shared" ref="D7" si="0">AVERAGE(C7:C10)</f>
        <v>-14.028</v>
      </c>
      <c r="E7" s="32">
        <f t="shared" ref="E7" si="1">(_xlfn.STDEV.S(C7:C10)/SQRT(4))/-D7</f>
        <v>6.6368190674743033E-2</v>
      </c>
      <c r="F7" s="31">
        <f t="shared" ref="F7" si="2">D7/1000</f>
        <v>-1.4028000000000001E-2</v>
      </c>
      <c r="G7" s="31">
        <f t="shared" ref="G7" si="3">-(F7*$X$7*$X$8)/($X$9*$X$10*$X$11*10^-3)</f>
        <v>189.0247599797878</v>
      </c>
      <c r="H7" s="31"/>
      <c r="I7" s="31"/>
      <c r="J7" s="31"/>
      <c r="K7" s="32"/>
      <c r="L7" s="16"/>
      <c r="M7" s="8">
        <v>-26.978000000000002</v>
      </c>
      <c r="N7" s="30">
        <f>AVERAGE(M7:M8)</f>
        <v>-25.549500000000002</v>
      </c>
      <c r="O7" s="32">
        <f>(_xlfn.STDEV.S(M7:M8)/SQRT(2))/-N7</f>
        <v>5.5911074580715918E-2</v>
      </c>
      <c r="P7" s="31">
        <f t="shared" ref="P7" si="4">N7/1000</f>
        <v>-2.5549500000000003E-2</v>
      </c>
      <c r="Q7" s="31">
        <f t="shared" ref="Q7" si="5">-(P7*$X$7*$X$8)/($X$9*$X$10*$X$11*10^-3)</f>
        <v>344.27488630621531</v>
      </c>
      <c r="R7" s="31"/>
      <c r="S7" s="31"/>
      <c r="T7" s="31"/>
      <c r="U7" s="32"/>
      <c r="W7" s="20" t="s">
        <v>99</v>
      </c>
      <c r="X7" s="8">
        <v>0.2</v>
      </c>
      <c r="Y7" s="8" t="s">
        <v>100</v>
      </c>
    </row>
    <row r="8" spans="1:25" x14ac:dyDescent="0.35">
      <c r="A8" s="8">
        <v>2</v>
      </c>
      <c r="C8" s="8">
        <v>-16.224</v>
      </c>
      <c r="D8" s="30"/>
      <c r="E8" s="32"/>
      <c r="F8" s="31"/>
      <c r="G8" s="31"/>
      <c r="H8" s="31"/>
      <c r="I8" s="31"/>
      <c r="J8" s="31"/>
      <c r="K8" s="32"/>
      <c r="L8" s="16"/>
      <c r="M8" s="8">
        <v>-24.120999999999999</v>
      </c>
      <c r="N8" s="30"/>
      <c r="O8" s="32"/>
      <c r="P8" s="31"/>
      <c r="Q8" s="31"/>
      <c r="R8" s="31"/>
      <c r="S8" s="31"/>
      <c r="T8" s="31"/>
      <c r="U8" s="32"/>
      <c r="W8" s="8" t="s">
        <v>101</v>
      </c>
      <c r="X8" s="8">
        <v>16</v>
      </c>
    </row>
    <row r="9" spans="1:25" ht="16.5" x14ac:dyDescent="0.35">
      <c r="A9" s="8">
        <v>2</v>
      </c>
      <c r="C9" s="8">
        <v>-12.503</v>
      </c>
      <c r="D9" s="30"/>
      <c r="E9" s="32"/>
      <c r="F9" s="31"/>
      <c r="G9" s="31"/>
      <c r="H9" s="31"/>
      <c r="I9" s="31"/>
      <c r="J9" s="31"/>
      <c r="K9" s="32"/>
      <c r="L9" s="16"/>
      <c r="M9" s="19"/>
      <c r="N9" s="19"/>
      <c r="O9" s="33"/>
      <c r="P9" s="31"/>
      <c r="Q9" s="31"/>
      <c r="R9" s="31"/>
      <c r="S9" s="31"/>
      <c r="T9" s="31"/>
      <c r="U9" s="32"/>
      <c r="W9" s="20" t="s">
        <v>104</v>
      </c>
      <c r="X9" s="8">
        <v>39.58</v>
      </c>
      <c r="Y9" s="8" t="s">
        <v>106</v>
      </c>
    </row>
    <row r="10" spans="1:25" x14ac:dyDescent="0.35">
      <c r="A10" s="8">
        <v>2</v>
      </c>
      <c r="C10" s="8">
        <v>-14.923</v>
      </c>
      <c r="D10" s="30"/>
      <c r="E10" s="32"/>
      <c r="F10" s="31"/>
      <c r="G10" s="31"/>
      <c r="H10" s="31"/>
      <c r="I10" s="31"/>
      <c r="J10" s="31"/>
      <c r="K10" s="32"/>
      <c r="L10" s="16"/>
      <c r="M10" s="19"/>
      <c r="N10" s="19"/>
      <c r="O10" s="33"/>
      <c r="P10" s="31"/>
      <c r="Q10" s="31"/>
      <c r="R10" s="31"/>
      <c r="S10" s="31"/>
      <c r="T10" s="31"/>
      <c r="U10" s="32"/>
      <c r="W10" s="20" t="s">
        <v>102</v>
      </c>
      <c r="X10" s="8">
        <v>0.01</v>
      </c>
      <c r="Y10" s="8" t="s">
        <v>100</v>
      </c>
    </row>
    <row r="11" spans="1:25" x14ac:dyDescent="0.35">
      <c r="A11" s="8">
        <v>3</v>
      </c>
      <c r="C11" s="8">
        <v>-20.603999999999999</v>
      </c>
      <c r="D11" s="30">
        <f t="shared" ref="D11" si="6">AVERAGE(C11:C14)</f>
        <v>-18.505749999999999</v>
      </c>
      <c r="E11" s="32">
        <f t="shared" ref="E11" si="7">(_xlfn.STDEV.S(C11:C14)/SQRT(4))/-D11</f>
        <v>6.7046151651744143E-2</v>
      </c>
      <c r="F11" s="31">
        <f t="shared" ref="F11" si="8">D11/1000</f>
        <v>-1.8505749999999998E-2</v>
      </c>
      <c r="G11" s="31">
        <f t="shared" ref="G11" si="9">-(F11*$X$7*$X$8)/($X$9*$X$10*$X$11*10^-3)</f>
        <v>249.36163045309078</v>
      </c>
      <c r="H11" s="31"/>
      <c r="I11" s="31"/>
      <c r="J11" s="31"/>
      <c r="K11" s="32"/>
      <c r="L11" s="16"/>
      <c r="M11" s="8">
        <v>-21.189</v>
      </c>
      <c r="N11" s="30">
        <f>AVERAGE(M11:M12)</f>
        <v>-20.853000000000002</v>
      </c>
      <c r="O11" s="32">
        <f>(_xlfn.STDEV.S(M11:M12)/SQRT(2))/-N11</f>
        <v>1.6112789526686822E-2</v>
      </c>
      <c r="P11" s="31">
        <f t="shared" ref="P11" si="10">N11/1000</f>
        <v>-2.0853E-2</v>
      </c>
      <c r="Q11" s="31">
        <f t="shared" ref="Q11" si="11">-(P11*$X$7*$X$8)/($X$9*$X$10*$X$11*10^-3)</f>
        <v>280.9903991915109</v>
      </c>
      <c r="R11" s="31"/>
      <c r="S11" s="31"/>
      <c r="T11" s="31"/>
      <c r="U11" s="32"/>
      <c r="W11" s="20" t="s">
        <v>103</v>
      </c>
      <c r="X11" s="8">
        <v>0.6</v>
      </c>
      <c r="Y11" s="8" t="s">
        <v>107</v>
      </c>
    </row>
    <row r="12" spans="1:25" x14ac:dyDescent="0.35">
      <c r="A12" s="8">
        <v>3</v>
      </c>
      <c r="C12" s="8">
        <v>-20.440000000000001</v>
      </c>
      <c r="D12" s="30"/>
      <c r="E12" s="32"/>
      <c r="F12" s="31"/>
      <c r="G12" s="31"/>
      <c r="H12" s="31"/>
      <c r="I12" s="31"/>
      <c r="J12" s="31"/>
      <c r="K12" s="32"/>
      <c r="L12" s="16"/>
      <c r="M12" s="8">
        <v>-20.516999999999999</v>
      </c>
      <c r="N12" s="30"/>
      <c r="O12" s="32"/>
      <c r="P12" s="31"/>
      <c r="Q12" s="31"/>
      <c r="R12" s="31"/>
      <c r="S12" s="31"/>
      <c r="T12" s="31"/>
      <c r="U12" s="32"/>
      <c r="W12" s="20" t="s">
        <v>105</v>
      </c>
    </row>
    <row r="13" spans="1:25" x14ac:dyDescent="0.35">
      <c r="A13" s="8">
        <v>3</v>
      </c>
      <c r="C13" s="8">
        <v>-15.441000000000001</v>
      </c>
      <c r="D13" s="30"/>
      <c r="E13" s="32"/>
      <c r="F13" s="31"/>
      <c r="G13" s="31"/>
      <c r="H13" s="31"/>
      <c r="I13" s="31"/>
      <c r="J13" s="31"/>
      <c r="K13" s="32"/>
      <c r="L13" s="16"/>
      <c r="M13" s="19"/>
      <c r="N13" s="19"/>
      <c r="O13" s="33"/>
      <c r="P13" s="31"/>
      <c r="Q13" s="31"/>
      <c r="R13" s="31"/>
      <c r="S13" s="31"/>
      <c r="T13" s="31"/>
      <c r="U13" s="32"/>
    </row>
    <row r="14" spans="1:25" x14ac:dyDescent="0.35">
      <c r="A14" s="8">
        <v>3</v>
      </c>
      <c r="C14" s="8">
        <v>-17.538</v>
      </c>
      <c r="D14" s="30"/>
      <c r="E14" s="32"/>
      <c r="F14" s="31"/>
      <c r="G14" s="31"/>
      <c r="H14" s="31"/>
      <c r="I14" s="31"/>
      <c r="J14" s="31"/>
      <c r="K14" s="32"/>
      <c r="L14" s="16"/>
      <c r="M14" s="19"/>
      <c r="N14" s="19"/>
      <c r="O14" s="33"/>
      <c r="P14" s="31"/>
      <c r="Q14" s="31"/>
      <c r="R14" s="31"/>
      <c r="S14" s="31"/>
      <c r="T14" s="31"/>
      <c r="U14" s="32"/>
    </row>
    <row r="15" spans="1:25" x14ac:dyDescent="0.35">
      <c r="A15" s="8">
        <v>4</v>
      </c>
      <c r="C15" s="8">
        <v>-13.615</v>
      </c>
      <c r="D15" s="30">
        <f t="shared" ref="D15" si="12">AVERAGE(C15:C18)</f>
        <v>-14.203374999999999</v>
      </c>
      <c r="E15" s="32">
        <f t="shared" ref="E15" si="13">(_xlfn.STDEV.S(C15:C18)/SQRT(4))/-D15</f>
        <v>0.15696127176000338</v>
      </c>
      <c r="F15" s="31">
        <f t="shared" ref="F15" si="14">D15/1000</f>
        <v>-1.4203374999999999E-2</v>
      </c>
      <c r="G15" s="31">
        <f t="shared" ref="G15" si="15">-(F15*$X$7*$X$8)/($X$9*$X$10*$X$11*10^-3)</f>
        <v>191.38790635000842</v>
      </c>
      <c r="H15" s="31"/>
      <c r="I15" s="31"/>
      <c r="J15" s="31"/>
      <c r="K15" s="32"/>
      <c r="L15" s="16"/>
      <c r="M15" s="8">
        <v>-24.538</v>
      </c>
      <c r="N15" s="30">
        <f>AVERAGE(M15:M16)</f>
        <v>-24.8565</v>
      </c>
      <c r="O15" s="32">
        <f>(_xlfn.STDEV.S(M15:M16)/SQRT(2))/-N15</f>
        <v>1.2813549775712599E-2</v>
      </c>
      <c r="P15" s="31">
        <f t="shared" ref="P15" si="16">N15/1000</f>
        <v>-2.48565E-2</v>
      </c>
      <c r="Q15" s="31">
        <f t="shared" ref="Q15" si="17">-(P15*$X$7*$X$8)/($X$9*$X$10*$X$11*10^-3)</f>
        <v>334.93683678625575</v>
      </c>
      <c r="R15" s="31"/>
      <c r="S15" s="31"/>
      <c r="T15" s="31"/>
      <c r="U15" s="32"/>
    </row>
    <row r="16" spans="1:25" x14ac:dyDescent="0.35">
      <c r="A16" s="8">
        <v>4</v>
      </c>
      <c r="C16" s="8">
        <v>-20.274999999999999</v>
      </c>
      <c r="D16" s="30"/>
      <c r="E16" s="32"/>
      <c r="F16" s="31"/>
      <c r="G16" s="31"/>
      <c r="H16" s="31"/>
      <c r="I16" s="31"/>
      <c r="J16" s="31"/>
      <c r="K16" s="32"/>
      <c r="L16" s="16"/>
      <c r="M16" s="8">
        <v>-25.175000000000001</v>
      </c>
      <c r="N16" s="30"/>
      <c r="O16" s="32"/>
      <c r="P16" s="31"/>
      <c r="Q16" s="31"/>
      <c r="R16" s="31"/>
      <c r="S16" s="31"/>
      <c r="T16" s="31"/>
      <c r="U16" s="32"/>
    </row>
    <row r="17" spans="1:21" x14ac:dyDescent="0.35">
      <c r="A17" s="8">
        <v>4</v>
      </c>
      <c r="C17" s="8">
        <v>-9.5385000000000009</v>
      </c>
      <c r="D17" s="30"/>
      <c r="E17" s="32"/>
      <c r="F17" s="31"/>
      <c r="G17" s="31"/>
      <c r="H17" s="31"/>
      <c r="I17" s="31"/>
      <c r="J17" s="31"/>
      <c r="K17" s="32"/>
      <c r="L17" s="16"/>
      <c r="M17" s="19"/>
      <c r="N17" s="19"/>
      <c r="O17" s="33"/>
      <c r="P17" s="31"/>
      <c r="Q17" s="31"/>
      <c r="R17" s="31"/>
      <c r="S17" s="31"/>
      <c r="T17" s="31"/>
      <c r="U17" s="32"/>
    </row>
    <row r="18" spans="1:21" x14ac:dyDescent="0.35">
      <c r="A18" s="8">
        <v>4</v>
      </c>
      <c r="C18" s="21">
        <v>-13.385</v>
      </c>
      <c r="D18" s="30"/>
      <c r="E18" s="32"/>
      <c r="F18" s="31"/>
      <c r="G18" s="31"/>
      <c r="H18" s="31"/>
      <c r="I18" s="31"/>
      <c r="J18" s="31"/>
      <c r="K18" s="32"/>
      <c r="L18" s="16"/>
      <c r="M18" s="19"/>
      <c r="N18" s="19"/>
      <c r="O18" s="33"/>
      <c r="P18" s="31"/>
      <c r="Q18" s="31"/>
      <c r="R18" s="31"/>
      <c r="S18" s="31"/>
      <c r="T18" s="31"/>
      <c r="U18" s="32"/>
    </row>
    <row r="19" spans="1:21" x14ac:dyDescent="0.35">
      <c r="A19" s="8">
        <v>5</v>
      </c>
      <c r="C19" s="8">
        <v>-17.966999999999999</v>
      </c>
      <c r="D19" s="30">
        <f>AVERAGE(C19:C20)</f>
        <v>-17.625</v>
      </c>
      <c r="E19" s="32">
        <f>(_xlfn.STDEV.S(C19:C20)/SQRT(2))/-D19</f>
        <v>1.9404255319148866E-2</v>
      </c>
      <c r="F19" s="31">
        <f>D19/1000</f>
        <v>-1.7624999999999998E-2</v>
      </c>
      <c r="G19" s="31">
        <f>-(F19*$X$7*$X$8)/($X$9*$X$10*$X$11*10^-3)</f>
        <v>237.49368367862559</v>
      </c>
      <c r="H19" s="31"/>
      <c r="I19" s="31"/>
      <c r="J19" s="31"/>
      <c r="K19" s="32"/>
      <c r="L19" s="16"/>
      <c r="M19" s="8">
        <v>-28.614999999999998</v>
      </c>
      <c r="N19" s="30">
        <f>AVERAGE(M19:M20)</f>
        <v>-25.027999999999999</v>
      </c>
      <c r="O19" s="32">
        <f>(_xlfn.STDEV.S(M19:M20)/SQRT(2))/-N19</f>
        <v>0.14331948217995857</v>
      </c>
      <c r="P19" s="31">
        <f>N19/1000</f>
        <v>-2.5027999999999998E-2</v>
      </c>
      <c r="Q19" s="31">
        <f>-(P19*$X$7*$X$8)/($X$9*$X$10*$X$11*10^-3)</f>
        <v>337.24776823311436</v>
      </c>
      <c r="R19" s="31"/>
      <c r="S19" s="31"/>
      <c r="T19" s="31"/>
      <c r="U19" s="32"/>
    </row>
    <row r="20" spans="1:21" x14ac:dyDescent="0.35">
      <c r="A20" s="8">
        <v>5</v>
      </c>
      <c r="C20" s="8">
        <v>-17.283000000000001</v>
      </c>
      <c r="D20" s="30"/>
      <c r="E20" s="32"/>
      <c r="F20" s="31"/>
      <c r="G20" s="31"/>
      <c r="H20" s="31"/>
      <c r="I20" s="31"/>
      <c r="J20" s="31"/>
      <c r="K20" s="32"/>
      <c r="L20" s="16"/>
      <c r="M20" s="8">
        <v>-21.440999999999999</v>
      </c>
      <c r="N20" s="30"/>
      <c r="O20" s="32"/>
      <c r="P20" s="31"/>
      <c r="Q20" s="31"/>
      <c r="R20" s="31"/>
      <c r="S20" s="31"/>
      <c r="T20" s="31"/>
      <c r="U20" s="32"/>
    </row>
    <row r="21" spans="1:21" x14ac:dyDescent="0.35">
      <c r="A21" s="8">
        <v>6</v>
      </c>
      <c r="C21" s="8">
        <v>-17.79</v>
      </c>
      <c r="D21" s="30">
        <f t="shared" ref="D21" si="18">AVERAGE(C21:C22)</f>
        <v>-19.734000000000002</v>
      </c>
      <c r="E21" s="32">
        <f t="shared" ref="E21" si="19">(_xlfn.STDEV.S(C21:C22)/SQRT(2))/-D21</f>
        <v>9.8510185466707229E-2</v>
      </c>
      <c r="F21" s="31">
        <f t="shared" ref="F21" si="20">D21/1000</f>
        <v>-1.9734000000000002E-2</v>
      </c>
      <c r="G21" s="31">
        <f t="shared" ref="G21" si="21">-(F21*$X$7*$X$8)/($X$9*$X$10*$X$11*10^-3)</f>
        <v>265.91207680646795</v>
      </c>
      <c r="H21" s="31"/>
      <c r="I21" s="31"/>
      <c r="J21" s="31">
        <f>AVERAGE(G21:G30)</f>
        <v>221.10021896580764</v>
      </c>
      <c r="K21" s="32">
        <f>(_xlfn.STDEV.S(G21:G30)/SQRT(5))/J21</f>
        <v>0.10320804588352513</v>
      </c>
      <c r="L21" s="16"/>
      <c r="M21" s="8">
        <v>-19.748000000000001</v>
      </c>
      <c r="N21" s="30">
        <f t="shared" ref="N21" si="22">AVERAGE(M21:M22)</f>
        <v>-20.148499999999999</v>
      </c>
      <c r="O21" s="32">
        <f t="shared" ref="O21" si="23">(_xlfn.STDEV.S(M21:M22)/SQRT(2))/-N21</f>
        <v>1.9877410229049271E-2</v>
      </c>
      <c r="P21" s="31">
        <f t="shared" ref="P21" si="24">N21/1000</f>
        <v>-2.01485E-2</v>
      </c>
      <c r="Q21" s="31">
        <f t="shared" ref="Q21" si="25">-(P21*$X$7*$X$8)/($X$9*$X$10*$X$11*10^-3)</f>
        <v>271.4973892538319</v>
      </c>
      <c r="R21" s="31"/>
      <c r="S21" s="31"/>
      <c r="T21" s="31">
        <f>AVERAGE(Q21:Q30)</f>
        <v>293.94778507663807</v>
      </c>
      <c r="U21" s="32">
        <f>(_xlfn.STDEV.S(Q21:Q30)/SQRT(5))/T21</f>
        <v>6.0780672664469855E-2</v>
      </c>
    </row>
    <row r="22" spans="1:21" x14ac:dyDescent="0.35">
      <c r="A22" s="8">
        <v>6</v>
      </c>
      <c r="C22" s="8">
        <v>-21.678000000000001</v>
      </c>
      <c r="D22" s="30"/>
      <c r="E22" s="32"/>
      <c r="F22" s="31"/>
      <c r="G22" s="31"/>
      <c r="H22" s="31"/>
      <c r="I22" s="31"/>
      <c r="J22" s="31"/>
      <c r="K22" s="32"/>
      <c r="L22" s="16"/>
      <c r="M22" s="8">
        <v>-20.548999999999999</v>
      </c>
      <c r="N22" s="30"/>
      <c r="O22" s="32"/>
      <c r="P22" s="31"/>
      <c r="Q22" s="31"/>
      <c r="R22" s="31"/>
      <c r="S22" s="31"/>
      <c r="T22" s="31"/>
      <c r="U22" s="32"/>
    </row>
    <row r="23" spans="1:21" x14ac:dyDescent="0.35">
      <c r="A23" s="8">
        <v>7</v>
      </c>
      <c r="C23" s="8">
        <v>-10.803000000000001</v>
      </c>
      <c r="D23" s="30">
        <f t="shared" ref="D23" si="26">AVERAGE(C23:C24)</f>
        <v>-11.129000000000001</v>
      </c>
      <c r="E23" s="32">
        <f t="shared" ref="E23" si="27">(_xlfn.STDEV.S(C23:C24)/SQRT(2))/-D23</f>
        <v>2.9292838529966714E-2</v>
      </c>
      <c r="F23" s="31">
        <f t="shared" ref="F23" si="28">D23/1000</f>
        <v>-1.1129000000000002E-2</v>
      </c>
      <c r="G23" s="31">
        <f t="shared" ref="G23" si="29">-(F23*$X$7*$X$8)/($X$9*$X$10*$X$11*10^-3)</f>
        <v>149.96125989557018</v>
      </c>
      <c r="H23" s="31"/>
      <c r="I23" s="31"/>
      <c r="J23" s="31"/>
      <c r="K23" s="32"/>
      <c r="L23" s="16"/>
      <c r="M23" s="8">
        <v>-21.712</v>
      </c>
      <c r="N23" s="30">
        <f t="shared" ref="N23" si="30">AVERAGE(M23:M24)</f>
        <v>-21.817499999999999</v>
      </c>
      <c r="O23" s="32">
        <f t="shared" ref="O23" si="31">(_xlfn.STDEV.S(M23:M24)/SQRT(2))/-N23</f>
        <v>4.8355677781596997E-3</v>
      </c>
      <c r="P23" s="31">
        <f t="shared" ref="P23" si="32">N23/1000</f>
        <v>-2.18175E-2</v>
      </c>
      <c r="Q23" s="31">
        <f t="shared" ref="Q23" si="33">-(P23*$X$7*$X$8)/($X$9*$X$10*$X$11*10^-3)</f>
        <v>293.98686205154121</v>
      </c>
      <c r="R23" s="31"/>
      <c r="S23" s="31"/>
      <c r="T23" s="31"/>
      <c r="U23" s="32"/>
    </row>
    <row r="24" spans="1:21" x14ac:dyDescent="0.35">
      <c r="A24" s="8">
        <v>7</v>
      </c>
      <c r="C24" s="8">
        <v>-11.455</v>
      </c>
      <c r="D24" s="30"/>
      <c r="E24" s="32"/>
      <c r="F24" s="31"/>
      <c r="G24" s="31"/>
      <c r="H24" s="31"/>
      <c r="I24" s="31"/>
      <c r="J24" s="31"/>
      <c r="K24" s="32"/>
      <c r="L24" s="16"/>
      <c r="M24" s="8">
        <v>-21.922999999999998</v>
      </c>
      <c r="N24" s="30"/>
      <c r="O24" s="32"/>
      <c r="P24" s="31"/>
      <c r="Q24" s="31"/>
      <c r="R24" s="31"/>
      <c r="S24" s="31"/>
      <c r="T24" s="31"/>
      <c r="U24" s="32"/>
    </row>
    <row r="25" spans="1:21" x14ac:dyDescent="0.35">
      <c r="A25" s="8">
        <v>8</v>
      </c>
      <c r="C25" s="8">
        <v>-13.516</v>
      </c>
      <c r="D25" s="30">
        <f t="shared" ref="D25" si="34">AVERAGE(C25:C26)</f>
        <v>-13.709</v>
      </c>
      <c r="E25" s="32">
        <f t="shared" ref="E25" si="35">(_xlfn.STDEV.S(C25:C26)/SQRT(2))/-D25</f>
        <v>1.4078342694580175E-2</v>
      </c>
      <c r="F25" s="31">
        <f t="shared" ref="F25" si="36">D25/1000</f>
        <v>-1.3708999999999999E-2</v>
      </c>
      <c r="G25" s="31">
        <f t="shared" ref="G25" si="37">-(F25*$X$7*$X$8)/($X$9*$X$10*$X$11*10^-3)</f>
        <v>184.72629274044132</v>
      </c>
      <c r="H25" s="31"/>
      <c r="I25" s="31"/>
      <c r="J25" s="31"/>
      <c r="K25" s="32"/>
      <c r="L25" s="16"/>
      <c r="M25" s="8">
        <v>-28.385000000000002</v>
      </c>
      <c r="N25" s="30">
        <f t="shared" ref="N25" si="38">AVERAGE(M25:M26)</f>
        <v>-26.92</v>
      </c>
      <c r="O25" s="32">
        <f t="shared" ref="O25" si="39">(_xlfn.STDEV.S(M25:M26)/SQRT(2))/-N25</f>
        <v>5.442050520059441E-2</v>
      </c>
      <c r="P25" s="31">
        <f t="shared" ref="P25" si="40">N25/1000</f>
        <v>-2.6920000000000003E-2</v>
      </c>
      <c r="Q25" s="31">
        <f t="shared" ref="Q25" si="41">-(P25*$X$7*$X$8)/($X$9*$X$10*$X$11*10^-3)</f>
        <v>362.74212565268664</v>
      </c>
      <c r="R25" s="31"/>
      <c r="S25" s="31"/>
      <c r="T25" s="31"/>
      <c r="U25" s="32"/>
    </row>
    <row r="26" spans="1:21" x14ac:dyDescent="0.35">
      <c r="A26" s="8">
        <v>8</v>
      </c>
      <c r="C26" s="8">
        <v>-13.901999999999999</v>
      </c>
      <c r="D26" s="30"/>
      <c r="E26" s="32"/>
      <c r="F26" s="31"/>
      <c r="G26" s="31"/>
      <c r="H26" s="31"/>
      <c r="I26" s="31"/>
      <c r="J26" s="31"/>
      <c r="K26" s="32"/>
      <c r="L26" s="16"/>
      <c r="M26" s="8">
        <v>-25.454999999999998</v>
      </c>
      <c r="N26" s="30"/>
      <c r="O26" s="32"/>
      <c r="P26" s="31"/>
      <c r="Q26" s="31"/>
      <c r="R26" s="31"/>
      <c r="S26" s="31"/>
      <c r="T26" s="31"/>
      <c r="U26" s="32"/>
    </row>
    <row r="27" spans="1:21" x14ac:dyDescent="0.35">
      <c r="A27" s="8">
        <v>9</v>
      </c>
      <c r="C27" s="8">
        <v>-16.231000000000002</v>
      </c>
      <c r="D27" s="30">
        <f t="shared" ref="D27" si="42">AVERAGE(C27:C28)</f>
        <v>-18.339500000000001</v>
      </c>
      <c r="E27" s="32">
        <f t="shared" ref="E27" si="43">(_xlfn.STDEV.S(C27:C28)/SQRT(2))/-D27</f>
        <v>0.11497041904086738</v>
      </c>
      <c r="F27" s="31">
        <f t="shared" ref="F27" si="44">D27/1000</f>
        <v>-1.8339500000000002E-2</v>
      </c>
      <c r="G27" s="31">
        <f t="shared" ref="G27" si="45">-(F27*$X$7*$X$8)/($X$9*$X$10*$X$11*10^-3)</f>
        <v>247.12144180562578</v>
      </c>
      <c r="H27" s="31"/>
      <c r="I27" s="31"/>
      <c r="J27" s="31"/>
      <c r="K27" s="32"/>
      <c r="L27" s="16"/>
      <c r="M27" s="8">
        <v>-18.808</v>
      </c>
      <c r="N27" s="30">
        <f t="shared" ref="N27" si="46">AVERAGE(M27:M28)</f>
        <v>-19.649000000000001</v>
      </c>
      <c r="O27" s="32">
        <f t="shared" ref="O27" si="47">(_xlfn.STDEV.S(M27:M28)/SQRT(2))/-N27</f>
        <v>4.2801160364395088E-2</v>
      </c>
      <c r="P27" s="31">
        <f t="shared" ref="P27" si="48">N27/1000</f>
        <v>-1.9649E-2</v>
      </c>
      <c r="Q27" s="31">
        <f t="shared" ref="Q27" si="49">-(P27*$X$7*$X$8)/($X$9*$X$10*$X$11*10^-3)</f>
        <v>264.76671719723765</v>
      </c>
      <c r="R27" s="31"/>
      <c r="S27" s="31"/>
      <c r="T27" s="31"/>
      <c r="U27" s="32"/>
    </row>
    <row r="28" spans="1:21" x14ac:dyDescent="0.35">
      <c r="A28" s="8">
        <v>9</v>
      </c>
      <c r="C28" s="8">
        <v>-20.448</v>
      </c>
      <c r="D28" s="30"/>
      <c r="E28" s="32"/>
      <c r="F28" s="31"/>
      <c r="G28" s="31"/>
      <c r="H28" s="31"/>
      <c r="I28" s="31"/>
      <c r="J28" s="31"/>
      <c r="K28" s="32"/>
      <c r="L28" s="16"/>
      <c r="M28" s="8">
        <v>-20.49</v>
      </c>
      <c r="N28" s="30"/>
      <c r="O28" s="32"/>
      <c r="P28" s="31"/>
      <c r="Q28" s="31"/>
      <c r="R28" s="31"/>
      <c r="S28" s="31"/>
      <c r="T28" s="31"/>
      <c r="U28" s="32"/>
    </row>
    <row r="29" spans="1:21" x14ac:dyDescent="0.35">
      <c r="A29" s="8">
        <v>10</v>
      </c>
      <c r="C29" s="8">
        <v>-17.187000000000001</v>
      </c>
      <c r="D29" s="30">
        <f t="shared" ref="D29:D45" si="50">AVERAGE(C29:C30)</f>
        <v>-19.130500000000001</v>
      </c>
      <c r="E29" s="32">
        <f t="shared" ref="E29" si="51">(_xlfn.STDEV.S(C29:C30)/SQRT(2))/-D29</f>
        <v>0.10159169911920733</v>
      </c>
      <c r="F29" s="31">
        <f t="shared" ref="F29" si="52">D29/1000</f>
        <v>-1.9130500000000002E-2</v>
      </c>
      <c r="G29" s="31">
        <f t="shared" ref="G29" si="53">-(F29*$X$7*$X$8)/($X$9*$X$10*$X$11*10^-3)</f>
        <v>257.78002358093318</v>
      </c>
      <c r="H29" s="31"/>
      <c r="I29" s="31"/>
      <c r="J29" s="31"/>
      <c r="K29" s="32"/>
      <c r="L29" s="16"/>
      <c r="M29" s="8">
        <v>-20.516999999999999</v>
      </c>
      <c r="N29" s="30">
        <f t="shared" ref="N29" si="54">AVERAGE(M29:M30)</f>
        <v>-20.538</v>
      </c>
      <c r="O29" s="32">
        <f t="shared" ref="O29" si="55">(_xlfn.STDEV.S(M29:M30)/SQRT(2))/-N29</f>
        <v>1.0224948875256011E-3</v>
      </c>
      <c r="P29" s="31">
        <f t="shared" ref="P29" si="56">N29/1000</f>
        <v>-2.0538000000000001E-2</v>
      </c>
      <c r="Q29" s="31">
        <f t="shared" ref="Q29" si="57">-(P29*$X$7*$X$8)/($X$9*$X$10*$X$11*10^-3)</f>
        <v>276.74583122789289</v>
      </c>
      <c r="R29" s="31"/>
      <c r="S29" s="31"/>
      <c r="T29" s="31"/>
      <c r="U29" s="32"/>
    </row>
    <row r="30" spans="1:21" x14ac:dyDescent="0.35">
      <c r="A30" s="8">
        <v>10</v>
      </c>
      <c r="C30" s="8">
        <v>-21.074000000000002</v>
      </c>
      <c r="D30" s="30"/>
      <c r="E30" s="32"/>
      <c r="F30" s="31"/>
      <c r="G30" s="31"/>
      <c r="H30" s="31"/>
      <c r="I30" s="31"/>
      <c r="J30" s="31"/>
      <c r="K30" s="32"/>
      <c r="L30" s="16"/>
      <c r="M30" s="8">
        <v>-20.559000000000001</v>
      </c>
      <c r="N30" s="30"/>
      <c r="O30" s="32"/>
      <c r="P30" s="31"/>
      <c r="Q30" s="31"/>
      <c r="R30" s="31"/>
      <c r="S30" s="31"/>
      <c r="T30" s="31"/>
      <c r="U30" s="32"/>
    </row>
    <row r="31" spans="1:21" x14ac:dyDescent="0.35">
      <c r="A31" s="8">
        <v>11</v>
      </c>
      <c r="C31" s="8">
        <v>-11.218999999999999</v>
      </c>
      <c r="D31" s="30">
        <f t="shared" ref="D31:D47" si="58">AVERAGE(C31:C32)</f>
        <v>-12.867999999999999</v>
      </c>
      <c r="E31" s="32">
        <f t="shared" ref="E31" si="59">(_xlfn.STDEV.S(C31:C32)/SQRT(2))/-D31</f>
        <v>0.12814734224432764</v>
      </c>
      <c r="F31" s="31">
        <f t="shared" ref="F31" si="60">D31/1000</f>
        <v>-1.2867999999999999E-2</v>
      </c>
      <c r="G31" s="31">
        <f t="shared" ref="G31" si="61">-(F31*$X$7*$X$8)/($X$9*$X$10*$X$11*10^-3)</f>
        <v>173.39397001852791</v>
      </c>
      <c r="H31" s="31"/>
      <c r="I31" s="31"/>
      <c r="J31" s="31">
        <f>AVERAGE(G31:G40)</f>
        <v>193.03351861209367</v>
      </c>
      <c r="K31" s="32">
        <f t="shared" ref="K31" si="62">(_xlfn.STDEV.S(G31:G40)/SQRT(5))/J31</f>
        <v>7.7117286005997723E-2</v>
      </c>
      <c r="L31" s="16"/>
      <c r="M31" s="8">
        <v>-23.561</v>
      </c>
      <c r="N31" s="30">
        <f t="shared" ref="N31" si="63">AVERAGE(M31:M32)</f>
        <v>-24.2255</v>
      </c>
      <c r="O31" s="32">
        <f t="shared" ref="O31" si="64">(_xlfn.STDEV.S(M31:M32)/SQRT(2))/-N31</f>
        <v>2.7429774411260873E-2</v>
      </c>
      <c r="P31" s="31">
        <f t="shared" ref="P31" si="65">N31/1000</f>
        <v>-2.4225500000000001E-2</v>
      </c>
      <c r="Q31" s="31">
        <f t="shared" ref="Q31" si="66">-(P31*$X$7*$X$8)/($X$9*$X$10*$X$11*10^-3)</f>
        <v>326.43422604008765</v>
      </c>
      <c r="R31" s="31"/>
      <c r="S31" s="31"/>
      <c r="T31" s="31">
        <f>AVERAGE(Q31:Q40)</f>
        <v>390.59053393970026</v>
      </c>
      <c r="U31" s="32">
        <f t="shared" ref="U31" si="67">(_xlfn.STDEV.S(Q31:Q40)/SQRT(5))/T31</f>
        <v>8.2313465062410066E-2</v>
      </c>
    </row>
    <row r="32" spans="1:21" x14ac:dyDescent="0.35">
      <c r="A32" s="8">
        <v>11</v>
      </c>
      <c r="C32" s="8">
        <v>-14.516999999999999</v>
      </c>
      <c r="D32" s="30"/>
      <c r="E32" s="32"/>
      <c r="F32" s="31"/>
      <c r="G32" s="31"/>
      <c r="H32" s="31"/>
      <c r="I32" s="31"/>
      <c r="J32" s="31"/>
      <c r="K32" s="32"/>
      <c r="L32" s="16"/>
      <c r="M32" s="8">
        <v>-24.89</v>
      </c>
      <c r="N32" s="30"/>
      <c r="O32" s="32"/>
      <c r="P32" s="31"/>
      <c r="Q32" s="31"/>
      <c r="R32" s="31"/>
      <c r="S32" s="31"/>
      <c r="T32" s="31"/>
      <c r="U32" s="32"/>
    </row>
    <row r="33" spans="1:21" x14ac:dyDescent="0.35">
      <c r="A33" s="8">
        <v>12</v>
      </c>
      <c r="C33" s="8">
        <v>-12.811</v>
      </c>
      <c r="D33" s="30">
        <f t="shared" ref="D33:D49" si="68">AVERAGE(C33:C34)</f>
        <v>-12.07</v>
      </c>
      <c r="E33" s="32">
        <f t="shared" ref="E33" si="69">(_xlfn.STDEV.S(C33:C34)/SQRT(2))/-D33</f>
        <v>6.1391880695940308E-2</v>
      </c>
      <c r="F33" s="31">
        <f t="shared" ref="F33" si="70">D33/1000</f>
        <v>-1.2070000000000001E-2</v>
      </c>
      <c r="G33" s="31">
        <f t="shared" ref="G33" si="71">-(F33*$X$7*$X$8)/($X$9*$X$10*$X$11*10^-3)</f>
        <v>162.64106451069568</v>
      </c>
      <c r="H33" s="31"/>
      <c r="I33" s="31"/>
      <c r="J33" s="31"/>
      <c r="K33" s="32"/>
      <c r="L33" s="16"/>
      <c r="M33" s="8">
        <v>-24.89</v>
      </c>
      <c r="N33" s="30">
        <f t="shared" ref="N33" si="72">AVERAGE(M33:M34)</f>
        <v>-26.060500000000001</v>
      </c>
      <c r="O33" s="32">
        <f t="shared" ref="O33" si="73">(_xlfn.STDEV.S(M33:M34)/SQRT(2))/-N33</f>
        <v>4.4914717676176601E-2</v>
      </c>
      <c r="P33" s="31">
        <f t="shared" ref="P33" si="74">N33/1000</f>
        <v>-2.60605E-2</v>
      </c>
      <c r="Q33" s="31">
        <f t="shared" ref="Q33" si="75">-(P33*$X$7*$X$8)/($X$9*$X$10*$X$11*10^-3)</f>
        <v>351.16051878052895</v>
      </c>
      <c r="R33" s="31"/>
      <c r="S33" s="31"/>
      <c r="T33" s="31"/>
      <c r="U33" s="32"/>
    </row>
    <row r="34" spans="1:21" x14ac:dyDescent="0.35">
      <c r="A34" s="8">
        <v>12</v>
      </c>
      <c r="C34" s="8">
        <v>-11.329000000000001</v>
      </c>
      <c r="D34" s="30"/>
      <c r="E34" s="32"/>
      <c r="F34" s="31"/>
      <c r="G34" s="31"/>
      <c r="H34" s="31"/>
      <c r="I34" s="31"/>
      <c r="J34" s="31"/>
      <c r="K34" s="32"/>
      <c r="L34" s="16"/>
      <c r="M34" s="8">
        <v>-27.231000000000002</v>
      </c>
      <c r="N34" s="30"/>
      <c r="O34" s="32"/>
      <c r="P34" s="31"/>
      <c r="Q34" s="31"/>
      <c r="R34" s="31"/>
      <c r="S34" s="31"/>
      <c r="T34" s="31"/>
      <c r="U34" s="32"/>
    </row>
    <row r="35" spans="1:21" x14ac:dyDescent="0.35">
      <c r="A35" s="8">
        <v>13</v>
      </c>
      <c r="C35" s="8">
        <v>-12.755000000000001</v>
      </c>
      <c r="D35" s="30">
        <f t="shared" ref="D35" si="76">AVERAGE(C35:C36)</f>
        <v>-14.629000000000001</v>
      </c>
      <c r="E35" s="32">
        <f t="shared" ref="E35" si="77">(_xlfn.STDEV.S(C35:C36)/SQRT(2))/-D35</f>
        <v>0.12810171577004525</v>
      </c>
      <c r="F35" s="31">
        <f t="shared" ref="F35" si="78">D35/1000</f>
        <v>-1.4629000000000001E-2</v>
      </c>
      <c r="G35" s="31">
        <f t="shared" ref="G35" si="79">-(F35*$X$7*$X$8)/($X$9*$X$10*$X$11*10^-3)</f>
        <v>197.12312615799229</v>
      </c>
      <c r="H35" s="31"/>
      <c r="I35" s="31"/>
      <c r="J35" s="31"/>
      <c r="K35" s="32"/>
      <c r="L35" s="16"/>
      <c r="M35" s="8">
        <v>-28.28</v>
      </c>
      <c r="N35" s="30">
        <f t="shared" ref="N35" si="80">AVERAGE(M35:M36)</f>
        <v>-29.963999999999999</v>
      </c>
      <c r="O35" s="32">
        <f t="shared" ref="O35" si="81">(_xlfn.STDEV.S(M35:M36)/SQRT(2))/-N35</f>
        <v>5.620077426244826E-2</v>
      </c>
      <c r="P35" s="31">
        <f t="shared" ref="P35" si="82">N35/1000</f>
        <v>-2.9963999999999998E-2</v>
      </c>
      <c r="Q35" s="31">
        <f t="shared" ref="Q35" si="83">-(P35*$X$7*$X$8)/($X$9*$X$10*$X$11*10^-3)</f>
        <v>403.75947448206165</v>
      </c>
      <c r="R35" s="31"/>
      <c r="S35" s="31"/>
      <c r="T35" s="31"/>
      <c r="U35" s="32"/>
    </row>
    <row r="36" spans="1:21" x14ac:dyDescent="0.35">
      <c r="A36" s="8">
        <v>13</v>
      </c>
      <c r="C36" s="8">
        <v>-16.503</v>
      </c>
      <c r="D36" s="30"/>
      <c r="E36" s="32"/>
      <c r="F36" s="31"/>
      <c r="G36" s="31"/>
      <c r="H36" s="31"/>
      <c r="I36" s="31"/>
      <c r="J36" s="31"/>
      <c r="K36" s="32"/>
      <c r="L36" s="16"/>
      <c r="M36" s="8">
        <v>-31.648</v>
      </c>
      <c r="N36" s="30"/>
      <c r="O36" s="32"/>
      <c r="P36" s="31"/>
      <c r="Q36" s="31"/>
      <c r="R36" s="31"/>
      <c r="S36" s="31"/>
      <c r="T36" s="31"/>
      <c r="U36" s="32"/>
    </row>
    <row r="37" spans="1:21" x14ac:dyDescent="0.35">
      <c r="A37" s="8">
        <v>14</v>
      </c>
      <c r="C37" s="8">
        <v>-19.670000000000002</v>
      </c>
      <c r="D37" s="30">
        <f t="shared" si="50"/>
        <v>-18.406500000000001</v>
      </c>
      <c r="E37" s="32">
        <f t="shared" ref="E37" si="84">(_xlfn.STDEV.S(C37:C38)/SQRT(2))/-D37</f>
        <v>6.8644228940863306E-2</v>
      </c>
      <c r="F37" s="31">
        <f t="shared" ref="F37" si="85">D37/1000</f>
        <v>-1.8406500000000003E-2</v>
      </c>
      <c r="G37" s="31">
        <f t="shared" ref="G37" si="86">-(F37*$X$7*$X$8)/($X$9*$X$10*$X$11*10^-3)</f>
        <v>248.02425467407787</v>
      </c>
      <c r="H37" s="31"/>
      <c r="I37" s="31"/>
      <c r="J37" s="31"/>
      <c r="K37" s="32"/>
      <c r="L37" s="16"/>
      <c r="M37" s="8">
        <v>-23.916</v>
      </c>
      <c r="N37" s="30">
        <f t="shared" ref="N37" si="87">AVERAGE(M37:M38)</f>
        <v>-26.902999999999999</v>
      </c>
      <c r="O37" s="32">
        <f t="shared" ref="O37" si="88">(_xlfn.STDEV.S(M37:M38)/SQRT(2))/-N37</f>
        <v>0.11102850983161763</v>
      </c>
      <c r="P37" s="31">
        <f t="shared" ref="P37" si="89">N37/1000</f>
        <v>-2.6903E-2</v>
      </c>
      <c r="Q37" s="31">
        <f t="shared" ref="Q37" si="90">-(P37*$X$7*$X$8)/($X$9*$X$10*$X$11*10^-3)</f>
        <v>362.51305373084051</v>
      </c>
      <c r="R37" s="31"/>
      <c r="S37" s="31"/>
      <c r="T37" s="31"/>
      <c r="U37" s="32"/>
    </row>
    <row r="38" spans="1:21" x14ac:dyDescent="0.35">
      <c r="A38" s="8">
        <v>14</v>
      </c>
      <c r="C38" s="8">
        <v>-17.143000000000001</v>
      </c>
      <c r="D38" s="30"/>
      <c r="E38" s="32"/>
      <c r="F38" s="31"/>
      <c r="G38" s="31"/>
      <c r="H38" s="31"/>
      <c r="I38" s="31"/>
      <c r="J38" s="31"/>
      <c r="K38" s="32"/>
      <c r="L38" s="16"/>
      <c r="M38" s="8">
        <v>-29.89</v>
      </c>
      <c r="N38" s="30"/>
      <c r="O38" s="32"/>
      <c r="P38" s="31"/>
      <c r="Q38" s="31"/>
      <c r="R38" s="31"/>
      <c r="S38" s="31"/>
      <c r="T38" s="31"/>
      <c r="U38" s="32"/>
    </row>
    <row r="39" spans="1:21" x14ac:dyDescent="0.35">
      <c r="A39" s="8">
        <v>15</v>
      </c>
      <c r="C39" s="8">
        <v>-13.462</v>
      </c>
      <c r="D39" s="30">
        <f t="shared" si="58"/>
        <v>-13.654</v>
      </c>
      <c r="E39" s="32">
        <f t="shared" ref="E39" si="91">(_xlfn.STDEV.S(C39:C40)/SQRT(2))/-D39</f>
        <v>1.4061813388018176E-2</v>
      </c>
      <c r="F39" s="31">
        <f t="shared" ref="F39" si="92">D39/1000</f>
        <v>-1.3653999999999999E-2</v>
      </c>
      <c r="G39" s="31">
        <f t="shared" ref="G39" si="93">-(F39*$X$7*$X$8)/($X$9*$X$10*$X$11*10^-3)</f>
        <v>183.9851776991747</v>
      </c>
      <c r="H39" s="31"/>
      <c r="I39" s="31"/>
      <c r="J39" s="31"/>
      <c r="K39" s="32"/>
      <c r="L39" s="16"/>
      <c r="M39" s="8">
        <v>-31.812999999999999</v>
      </c>
      <c r="N39" s="30">
        <f t="shared" ref="N39" si="94">AVERAGE(M39:M40)</f>
        <v>-37.780499999999996</v>
      </c>
      <c r="O39" s="32">
        <f t="shared" ref="O39" si="95">(_xlfn.STDEV.S(M39:M40)/SQRT(2))/-N39</f>
        <v>0.15795185346938248</v>
      </c>
      <c r="P39" s="31">
        <f t="shared" ref="P39" si="96">N39/1000</f>
        <v>-3.7780499999999995E-2</v>
      </c>
      <c r="Q39" s="31">
        <f t="shared" ref="Q39" si="97">-(P39*$X$7*$X$8)/($X$9*$X$10*$X$11*10^-3)</f>
        <v>509.08539666498234</v>
      </c>
      <c r="R39" s="31"/>
      <c r="S39" s="31"/>
      <c r="T39" s="31"/>
      <c r="U39" s="32"/>
    </row>
    <row r="40" spans="1:21" x14ac:dyDescent="0.35">
      <c r="A40" s="8">
        <v>15</v>
      </c>
      <c r="C40" s="8">
        <v>-13.846</v>
      </c>
      <c r="D40" s="30"/>
      <c r="E40" s="32"/>
      <c r="F40" s="31"/>
      <c r="G40" s="31"/>
      <c r="H40" s="31"/>
      <c r="I40" s="31"/>
      <c r="J40" s="31"/>
      <c r="K40" s="32"/>
      <c r="L40" s="16"/>
      <c r="M40" s="8">
        <v>-43.747999999999998</v>
      </c>
      <c r="N40" s="30"/>
      <c r="O40" s="32"/>
      <c r="P40" s="31"/>
      <c r="Q40" s="31"/>
      <c r="R40" s="31"/>
      <c r="S40" s="31"/>
      <c r="T40" s="31"/>
      <c r="U40" s="32"/>
    </row>
    <row r="41" spans="1:21" x14ac:dyDescent="0.35">
      <c r="A41" s="8">
        <v>16</v>
      </c>
      <c r="C41" s="8">
        <v>-14.67</v>
      </c>
      <c r="D41" s="30">
        <f t="shared" si="68"/>
        <v>-14.3</v>
      </c>
      <c r="E41" s="32">
        <f t="shared" ref="E41" si="98">(_xlfn.STDEV.S(C41:C42)/SQRT(2))/-D41</f>
        <v>2.5874125874125877E-2</v>
      </c>
      <c r="F41" s="31">
        <f t="shared" ref="F41" si="99">D41/1000</f>
        <v>-1.43E-2</v>
      </c>
      <c r="G41" s="31">
        <f t="shared" ref="G41" si="100">-(F41*$X$7*$X$8)/($X$9*$X$10*$X$11*10^-3)</f>
        <v>192.68991072932459</v>
      </c>
      <c r="H41" s="31"/>
      <c r="I41" s="31"/>
      <c r="J41" s="31">
        <f>AVERAGE(G41:G50)</f>
        <v>231.41923530402559</v>
      </c>
      <c r="K41" s="32">
        <f t="shared" ref="K41" si="101">(_xlfn.STDEV.S(G41:G50)/SQRT(5))/J41</f>
        <v>0.11127524240916338</v>
      </c>
      <c r="L41" s="16"/>
      <c r="M41" s="8">
        <v>-33.462000000000003</v>
      </c>
      <c r="N41" s="30">
        <f t="shared" ref="N41" si="102">AVERAGE(M41:M42)</f>
        <v>-37.038499999999999</v>
      </c>
      <c r="O41" s="32">
        <f t="shared" ref="O41" si="103">(_xlfn.STDEV.S(M41:M42)/SQRT(2))/-N41</f>
        <v>9.6561685813410347E-2</v>
      </c>
      <c r="P41" s="31">
        <f t="shared" ref="P41" si="104">N41/1000</f>
        <v>-3.7038500000000002E-2</v>
      </c>
      <c r="Q41" s="31">
        <f t="shared" ref="Q41" si="105">-(P41*$X$7*$X$8)/($X$9*$X$10*$X$11*10^-3)</f>
        <v>499.08708101734891</v>
      </c>
      <c r="R41" s="31"/>
      <c r="S41" s="31"/>
      <c r="T41" s="31">
        <f>AVERAGE(Q41:Q50)</f>
        <v>473.02543372073444</v>
      </c>
      <c r="U41" s="32">
        <f t="shared" ref="U41" si="106">(_xlfn.STDEV.S(Q41:Q50)/SQRT(5))/T41</f>
        <v>3.874882870692558E-2</v>
      </c>
    </row>
    <row r="42" spans="1:21" x14ac:dyDescent="0.35">
      <c r="A42" s="8">
        <v>16</v>
      </c>
      <c r="C42" s="8">
        <v>-13.93</v>
      </c>
      <c r="D42" s="30"/>
      <c r="E42" s="32"/>
      <c r="F42" s="31"/>
      <c r="G42" s="31"/>
      <c r="H42" s="31"/>
      <c r="I42" s="31"/>
      <c r="J42" s="31"/>
      <c r="K42" s="32"/>
      <c r="L42" s="16"/>
      <c r="M42" s="8">
        <v>-40.615000000000002</v>
      </c>
      <c r="N42" s="30"/>
      <c r="O42" s="32"/>
      <c r="P42" s="31"/>
      <c r="Q42" s="31"/>
      <c r="R42" s="31"/>
      <c r="S42" s="31"/>
      <c r="T42" s="31"/>
      <c r="U42" s="32"/>
    </row>
    <row r="43" spans="1:21" x14ac:dyDescent="0.35">
      <c r="A43" s="8">
        <v>17</v>
      </c>
      <c r="C43" s="8">
        <v>-10.692</v>
      </c>
      <c r="D43" s="30">
        <f t="shared" ref="D43" si="107">AVERAGE(C43:C44)</f>
        <v>-11.332000000000001</v>
      </c>
      <c r="E43" s="32">
        <f t="shared" ref="E43" si="108">(_xlfn.STDEV.S(C43:C44)/SQRT(2))/-D43</f>
        <v>5.6477232615601801E-2</v>
      </c>
      <c r="F43" s="31">
        <f t="shared" ref="F43" si="109">D43/1000</f>
        <v>-1.1332E-2</v>
      </c>
      <c r="G43" s="31">
        <f t="shared" ref="G43" si="110">-(F43*$X$7*$X$8)/($X$9*$X$10*$X$11*10^-3)</f>
        <v>152.69664813879064</v>
      </c>
      <c r="H43" s="31"/>
      <c r="I43" s="31"/>
      <c r="J43" s="31"/>
      <c r="K43" s="32"/>
      <c r="L43" s="16"/>
      <c r="M43" s="8">
        <v>-31.614999999999998</v>
      </c>
      <c r="N43" s="30">
        <f t="shared" ref="N43" si="111">AVERAGE(M43:M44)</f>
        <v>-32.290999999999997</v>
      </c>
      <c r="O43" s="32">
        <f t="shared" ref="O43" si="112">(_xlfn.STDEV.S(M43:M44)/SQRT(2))/-N43</f>
        <v>2.0934625747112204E-2</v>
      </c>
      <c r="P43" s="31">
        <f t="shared" ref="P43" si="113">N43/1000</f>
        <v>-3.2291E-2</v>
      </c>
      <c r="Q43" s="31">
        <f t="shared" ref="Q43" si="114">-(P43*$X$7*$X$8)/($X$9*$X$10*$X$11*10^-3)</f>
        <v>435.11537813710635</v>
      </c>
      <c r="R43" s="31"/>
      <c r="S43" s="31"/>
      <c r="T43" s="31"/>
      <c r="U43" s="32"/>
    </row>
    <row r="44" spans="1:21" x14ac:dyDescent="0.35">
      <c r="A44" s="8">
        <v>17</v>
      </c>
      <c r="C44" s="8">
        <v>-11.972</v>
      </c>
      <c r="D44" s="30"/>
      <c r="E44" s="32"/>
      <c r="F44" s="31"/>
      <c r="G44" s="31"/>
      <c r="H44" s="31"/>
      <c r="I44" s="31"/>
      <c r="J44" s="31"/>
      <c r="K44" s="32"/>
      <c r="L44" s="16"/>
      <c r="M44" s="8">
        <v>-32.966999999999999</v>
      </c>
      <c r="N44" s="30"/>
      <c r="O44" s="32"/>
      <c r="P44" s="31"/>
      <c r="Q44" s="31"/>
      <c r="R44" s="31"/>
      <c r="S44" s="31"/>
      <c r="T44" s="31"/>
      <c r="U44" s="32"/>
    </row>
    <row r="45" spans="1:21" x14ac:dyDescent="0.35">
      <c r="A45" s="8">
        <v>18</v>
      </c>
      <c r="C45" s="8">
        <v>-20.895</v>
      </c>
      <c r="D45" s="30">
        <f t="shared" si="50"/>
        <v>-21.384499999999999</v>
      </c>
      <c r="E45" s="32">
        <f t="shared" ref="E45" si="115">(_xlfn.STDEV.S(C45:C46)/SQRT(2))/-D45</f>
        <v>2.2890411279197529E-2</v>
      </c>
      <c r="F45" s="31">
        <f t="shared" ref="F45" si="116">D45/1000</f>
        <v>-2.1384500000000001E-2</v>
      </c>
      <c r="G45" s="31">
        <f t="shared" ref="G45" si="117">-(F45*$X$7*$X$8)/($X$9*$X$10*$X$11*10^-3)</f>
        <v>288.15226545393301</v>
      </c>
      <c r="H45" s="31"/>
      <c r="I45" s="31"/>
      <c r="J45" s="31"/>
      <c r="K45" s="32"/>
      <c r="L45" s="16"/>
      <c r="M45" s="8">
        <v>-28.747</v>
      </c>
      <c r="N45" s="30">
        <f t="shared" ref="N45" si="118">AVERAGE(M45:M46)</f>
        <v>-31.599</v>
      </c>
      <c r="O45" s="32">
        <f t="shared" ref="O45" si="119">(_xlfn.STDEV.S(M45:M46)/SQRT(2))/-N45</f>
        <v>9.0256020760150629E-2</v>
      </c>
      <c r="P45" s="31">
        <f t="shared" ref="P45" si="120">N45/1000</f>
        <v>-3.1599000000000002E-2</v>
      </c>
      <c r="Q45" s="31">
        <f t="shared" ref="Q45" si="121">-(P45*$X$7*$X$8)/($X$9*$X$10*$X$11*10^-3)</f>
        <v>425.79080343607887</v>
      </c>
      <c r="R45" s="31"/>
      <c r="S45" s="31"/>
      <c r="T45" s="31"/>
      <c r="U45" s="32"/>
    </row>
    <row r="46" spans="1:21" x14ac:dyDescent="0.35">
      <c r="A46" s="8">
        <v>18</v>
      </c>
      <c r="C46" s="8">
        <v>-21.873999999999999</v>
      </c>
      <c r="D46" s="30"/>
      <c r="E46" s="32"/>
      <c r="F46" s="31"/>
      <c r="G46" s="31"/>
      <c r="H46" s="31"/>
      <c r="I46" s="31"/>
      <c r="J46" s="31"/>
      <c r="K46" s="32"/>
      <c r="L46" s="16"/>
      <c r="M46" s="8">
        <v>-34.451000000000001</v>
      </c>
      <c r="N46" s="30"/>
      <c r="O46" s="32"/>
      <c r="P46" s="31"/>
      <c r="Q46" s="31"/>
      <c r="R46" s="31"/>
      <c r="S46" s="31"/>
      <c r="T46" s="31"/>
      <c r="U46" s="32"/>
    </row>
    <row r="47" spans="1:21" x14ac:dyDescent="0.35">
      <c r="A47" s="8">
        <v>19</v>
      </c>
      <c r="C47" s="8">
        <v>-15.773</v>
      </c>
      <c r="D47" s="30">
        <f t="shared" si="58"/>
        <v>-18.25</v>
      </c>
      <c r="E47" s="32">
        <f t="shared" ref="E47" si="122">(_xlfn.STDEV.S(C47:C48)/SQRT(2))/-D47</f>
        <v>0.13572602739726047</v>
      </c>
      <c r="F47" s="31">
        <f t="shared" ref="F47" si="123">D47/1000</f>
        <v>-1.8249999999999999E-2</v>
      </c>
      <c r="G47" s="31">
        <f t="shared" ref="G47" si="124">-(F47*$X$7*$X$8)/($X$9*$X$10*$X$11*10^-3)</f>
        <v>245.91544551120097</v>
      </c>
      <c r="H47" s="31"/>
      <c r="I47" s="31"/>
      <c r="J47" s="31"/>
      <c r="K47" s="32"/>
      <c r="L47" s="16"/>
      <c r="M47" s="8">
        <v>-34.121000000000002</v>
      </c>
      <c r="N47" s="30">
        <f t="shared" ref="N47" si="125">AVERAGE(M47:M48)</f>
        <v>-35.983499999999999</v>
      </c>
      <c r="O47" s="32">
        <f t="shared" ref="O47" si="126">(_xlfn.STDEV.S(M47:M48)/SQRT(2))/-N47</f>
        <v>5.1759834368529933E-2</v>
      </c>
      <c r="P47" s="31">
        <f t="shared" ref="P47" si="127">N47/1000</f>
        <v>-3.5983500000000002E-2</v>
      </c>
      <c r="Q47" s="31">
        <f t="shared" ref="Q47" si="128">-(P47*$X$7*$X$8)/($X$9*$X$10*$X$11*10^-3)</f>
        <v>484.87114704396163</v>
      </c>
      <c r="R47" s="31"/>
      <c r="S47" s="31"/>
      <c r="T47" s="31"/>
      <c r="U47" s="32"/>
    </row>
    <row r="48" spans="1:21" x14ac:dyDescent="0.35">
      <c r="A48" s="8">
        <v>19</v>
      </c>
      <c r="C48" s="8">
        <v>-20.727</v>
      </c>
      <c r="D48" s="30"/>
      <c r="E48" s="32"/>
      <c r="F48" s="31"/>
      <c r="G48" s="31"/>
      <c r="H48" s="31"/>
      <c r="I48" s="31"/>
      <c r="J48" s="31"/>
      <c r="K48" s="32"/>
      <c r="L48" s="16"/>
      <c r="M48" s="8">
        <v>-37.845999999999997</v>
      </c>
      <c r="N48" s="30"/>
      <c r="O48" s="32"/>
      <c r="P48" s="31"/>
      <c r="Q48" s="31"/>
      <c r="R48" s="31"/>
      <c r="S48" s="31"/>
      <c r="T48" s="31"/>
      <c r="U48" s="32"/>
    </row>
    <row r="49" spans="1:21" x14ac:dyDescent="0.35">
      <c r="A49" s="8">
        <v>20</v>
      </c>
      <c r="C49" s="8">
        <v>-20.824000000000002</v>
      </c>
      <c r="D49" s="30">
        <f t="shared" si="68"/>
        <v>-20.604500000000002</v>
      </c>
      <c r="E49" s="32">
        <f t="shared" ref="E49" si="129">(_xlfn.STDEV.S(C49:C50)/SQRT(2))/-D49</f>
        <v>1.0653012691402362E-2</v>
      </c>
      <c r="F49" s="31">
        <f t="shared" ref="F49" si="130">D49/1000</f>
        <v>-2.0604500000000001E-2</v>
      </c>
      <c r="G49" s="31">
        <f t="shared" ref="G49" si="131">-(F49*$X$7*$X$8)/($X$9*$X$10*$X$11*10^-3)</f>
        <v>277.64190668687894</v>
      </c>
      <c r="H49" s="31"/>
      <c r="I49" s="31"/>
      <c r="J49" s="31"/>
      <c r="K49" s="32"/>
      <c r="L49" s="16"/>
      <c r="M49" s="8">
        <v>-30.462</v>
      </c>
      <c r="N49" s="30">
        <f t="shared" ref="N49" si="132">AVERAGE(M49:M50)</f>
        <v>-38.61</v>
      </c>
      <c r="O49" s="32">
        <f t="shared" ref="O49" si="133">(_xlfn.STDEV.S(M49:M50)/SQRT(2))/-N49</f>
        <v>0.21103341103341158</v>
      </c>
      <c r="P49" s="31">
        <f t="shared" ref="P49" si="134">N49/1000</f>
        <v>-3.8609999999999998E-2</v>
      </c>
      <c r="Q49" s="31">
        <f t="shared" ref="Q49" si="135">-(P49*$X$7*$X$8)/($X$9*$X$10*$X$11*10^-3)</f>
        <v>520.26275896917639</v>
      </c>
      <c r="R49" s="31"/>
      <c r="S49" s="31"/>
      <c r="T49" s="31"/>
      <c r="U49" s="32"/>
    </row>
    <row r="50" spans="1:21" x14ac:dyDescent="0.35">
      <c r="A50" s="8">
        <v>20</v>
      </c>
      <c r="C50" s="8">
        <v>-20.385000000000002</v>
      </c>
      <c r="D50" s="30"/>
      <c r="E50" s="32"/>
      <c r="F50" s="31"/>
      <c r="G50" s="31"/>
      <c r="H50" s="31"/>
      <c r="I50" s="31"/>
      <c r="J50" s="31"/>
      <c r="K50" s="32"/>
      <c r="L50" s="16"/>
      <c r="M50" s="8">
        <v>-46.758000000000003</v>
      </c>
      <c r="N50" s="30"/>
      <c r="O50" s="32"/>
      <c r="P50" s="31"/>
      <c r="Q50" s="31"/>
      <c r="R50" s="31"/>
      <c r="S50" s="31"/>
      <c r="T50" s="31"/>
      <c r="U50" s="32"/>
    </row>
  </sheetData>
  <mergeCells count="262">
    <mergeCell ref="L1:U1"/>
    <mergeCell ref="R41:R42"/>
    <mergeCell ref="S41:S42"/>
    <mergeCell ref="R43:R44"/>
    <mergeCell ref="S43:S44"/>
    <mergeCell ref="R45:R46"/>
    <mergeCell ref="S45:S46"/>
    <mergeCell ref="R47:R48"/>
    <mergeCell ref="S47:S48"/>
    <mergeCell ref="P3:P6"/>
    <mergeCell ref="P7:P10"/>
    <mergeCell ref="P11:P14"/>
    <mergeCell ref="P15:P18"/>
    <mergeCell ref="P19:P20"/>
    <mergeCell ref="Q3:Q6"/>
    <mergeCell ref="T3:T20"/>
    <mergeCell ref="U3:U20"/>
    <mergeCell ref="Q7:Q10"/>
    <mergeCell ref="Q11:Q14"/>
    <mergeCell ref="N41:N42"/>
    <mergeCell ref="N43:N44"/>
    <mergeCell ref="N45:N46"/>
    <mergeCell ref="P21:P22"/>
    <mergeCell ref="P23:P24"/>
    <mergeCell ref="H49:H50"/>
    <mergeCell ref="I49:I50"/>
    <mergeCell ref="R49:R50"/>
    <mergeCell ref="S49:S50"/>
    <mergeCell ref="R3:R6"/>
    <mergeCell ref="S3:S6"/>
    <mergeCell ref="R7:R10"/>
    <mergeCell ref="S7:S10"/>
    <mergeCell ref="R11:R14"/>
    <mergeCell ref="S11:S14"/>
    <mergeCell ref="R15:R18"/>
    <mergeCell ref="S15:S18"/>
    <mergeCell ref="R19:R20"/>
    <mergeCell ref="S19:S20"/>
    <mergeCell ref="H39:H40"/>
    <mergeCell ref="I39:I40"/>
    <mergeCell ref="H41:H42"/>
    <mergeCell ref="I41:I42"/>
    <mergeCell ref="H43:H44"/>
    <mergeCell ref="I43:I44"/>
    <mergeCell ref="H45:H46"/>
    <mergeCell ref="I45:I46"/>
    <mergeCell ref="H47:H48"/>
    <mergeCell ref="I47:I48"/>
    <mergeCell ref="H29:H30"/>
    <mergeCell ref="I29:I30"/>
    <mergeCell ref="H31:H32"/>
    <mergeCell ref="I31:I32"/>
    <mergeCell ref="H33:H34"/>
    <mergeCell ref="I33:I34"/>
    <mergeCell ref="H35:H36"/>
    <mergeCell ref="I35:I36"/>
    <mergeCell ref="H37:H38"/>
    <mergeCell ref="I37:I38"/>
    <mergeCell ref="H19:H20"/>
    <mergeCell ref="I19:I20"/>
    <mergeCell ref="H21:H22"/>
    <mergeCell ref="I21:I22"/>
    <mergeCell ref="H23:H24"/>
    <mergeCell ref="I23:I24"/>
    <mergeCell ref="H25:H26"/>
    <mergeCell ref="I25:I26"/>
    <mergeCell ref="H27:H28"/>
    <mergeCell ref="I27:I28"/>
    <mergeCell ref="D33:D34"/>
    <mergeCell ref="D35:D36"/>
    <mergeCell ref="D15:D18"/>
    <mergeCell ref="D19:D20"/>
    <mergeCell ref="D21:D22"/>
    <mergeCell ref="D23:D24"/>
    <mergeCell ref="D25:D26"/>
    <mergeCell ref="C1:K1"/>
    <mergeCell ref="D3:D6"/>
    <mergeCell ref="D7:D10"/>
    <mergeCell ref="D11:D14"/>
    <mergeCell ref="K3:K20"/>
    <mergeCell ref="H3:H6"/>
    <mergeCell ref="F23:F24"/>
    <mergeCell ref="G23:G24"/>
    <mergeCell ref="K21:K30"/>
    <mergeCell ref="K31:K40"/>
    <mergeCell ref="H7:H10"/>
    <mergeCell ref="H11:H14"/>
    <mergeCell ref="H15:H18"/>
    <mergeCell ref="I3:I6"/>
    <mergeCell ref="I7:I10"/>
    <mergeCell ref="I11:I14"/>
    <mergeCell ref="I15:I18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F49:F50"/>
    <mergeCell ref="G49:G50"/>
    <mergeCell ref="J3:J20"/>
    <mergeCell ref="J21:J30"/>
    <mergeCell ref="J31:J40"/>
    <mergeCell ref="J41:J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K41:K50"/>
    <mergeCell ref="N3:N4"/>
    <mergeCell ref="N7:N8"/>
    <mergeCell ref="N11:N12"/>
    <mergeCell ref="N15:N16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O31:O32"/>
    <mergeCell ref="O33:O34"/>
    <mergeCell ref="O35:O36"/>
    <mergeCell ref="O37:O38"/>
    <mergeCell ref="O39:O40"/>
    <mergeCell ref="N47:N48"/>
    <mergeCell ref="N49:N50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N37:N38"/>
    <mergeCell ref="N39:N40"/>
    <mergeCell ref="O41:O42"/>
    <mergeCell ref="O43:O44"/>
    <mergeCell ref="O45:O46"/>
    <mergeCell ref="O47:O48"/>
    <mergeCell ref="P41:P42"/>
    <mergeCell ref="P43:P44"/>
    <mergeCell ref="P45:P46"/>
    <mergeCell ref="P47:P48"/>
    <mergeCell ref="O49:O50"/>
    <mergeCell ref="P49:P50"/>
    <mergeCell ref="P31:P32"/>
    <mergeCell ref="P33:P34"/>
    <mergeCell ref="P35:P36"/>
    <mergeCell ref="P37:P38"/>
    <mergeCell ref="P39:P40"/>
    <mergeCell ref="Q15:Q18"/>
    <mergeCell ref="Q19:Q20"/>
    <mergeCell ref="Q21:Q22"/>
    <mergeCell ref="Q41:Q42"/>
    <mergeCell ref="P25:P26"/>
    <mergeCell ref="P27:P28"/>
    <mergeCell ref="P29:P30"/>
    <mergeCell ref="T21:T30"/>
    <mergeCell ref="U21:U30"/>
    <mergeCell ref="Q23:Q24"/>
    <mergeCell ref="Q25:Q26"/>
    <mergeCell ref="Q27:Q28"/>
    <mergeCell ref="Q29:Q30"/>
    <mergeCell ref="R21:R22"/>
    <mergeCell ref="S21:S22"/>
    <mergeCell ref="R23:R24"/>
    <mergeCell ref="S23:S24"/>
    <mergeCell ref="R25:R26"/>
    <mergeCell ref="S25:S26"/>
    <mergeCell ref="R27:R28"/>
    <mergeCell ref="S27:S28"/>
    <mergeCell ref="R29:R30"/>
    <mergeCell ref="S29:S30"/>
    <mergeCell ref="T41:T50"/>
    <mergeCell ref="U41:U50"/>
    <mergeCell ref="Q43:Q44"/>
    <mergeCell ref="Q45:Q46"/>
    <mergeCell ref="Q47:Q48"/>
    <mergeCell ref="Q49:Q50"/>
    <mergeCell ref="Q31:Q32"/>
    <mergeCell ref="T31:T40"/>
    <mergeCell ref="U31:U40"/>
    <mergeCell ref="Q33:Q34"/>
    <mergeCell ref="Q35:Q36"/>
    <mergeCell ref="Q37:Q38"/>
    <mergeCell ref="Q39:Q40"/>
    <mergeCell ref="R31:R32"/>
    <mergeCell ref="S31:S32"/>
    <mergeCell ref="R33:R34"/>
    <mergeCell ref="S33:S34"/>
    <mergeCell ref="R35:R36"/>
    <mergeCell ref="S35:S36"/>
    <mergeCell ref="R37:R38"/>
    <mergeCell ref="S37:S38"/>
    <mergeCell ref="R39:R40"/>
    <mergeCell ref="S39:S40"/>
  </mergeCells>
  <conditionalFormatting sqref="B2">
    <cfRule type="beginsWith" dxfId="3" priority="2" operator="beginsWith" text="NA">
      <formula>LEFT(B2,LEN("NA"))="NA"</formula>
    </cfRule>
  </conditionalFormatting>
  <conditionalFormatting sqref="L2">
    <cfRule type="beginsWith" dxfId="2" priority="1" operator="beginsWith" text="NA">
      <formula>LEFT(L2,LEN("NA"))="NA"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13" zoomScale="70" zoomScaleNormal="70" workbookViewId="0">
      <selection activeCell="A2" sqref="A2:A4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36" t="s">
        <v>90</v>
      </c>
      <c r="C1" s="36"/>
      <c r="D1" s="36"/>
      <c r="E1" s="36"/>
      <c r="F1" s="36"/>
      <c r="G1" s="36"/>
      <c r="H1" s="36"/>
      <c r="I1" s="36"/>
      <c r="J1" s="36"/>
      <c r="K1" s="37" t="s">
        <v>91</v>
      </c>
      <c r="L1" s="37"/>
      <c r="M1" s="37"/>
      <c r="N1" s="37"/>
      <c r="O1" s="37"/>
      <c r="P1" s="37"/>
      <c r="Q1" s="37"/>
      <c r="R1" s="37"/>
      <c r="S1" s="37"/>
    </row>
    <row r="2" spans="1:23" x14ac:dyDescent="0.35">
      <c r="A2" s="13" t="s">
        <v>0</v>
      </c>
      <c r="B2" s="6" t="s">
        <v>108</v>
      </c>
      <c r="C2" s="6" t="s">
        <v>95</v>
      </c>
      <c r="D2" s="6" t="s">
        <v>93</v>
      </c>
      <c r="E2" s="6" t="s">
        <v>98</v>
      </c>
      <c r="F2" s="6" t="s">
        <v>96</v>
      </c>
      <c r="G2" s="6" t="s">
        <v>119</v>
      </c>
      <c r="H2" s="14" t="s">
        <v>110</v>
      </c>
      <c r="I2" s="14" t="s">
        <v>97</v>
      </c>
      <c r="J2" s="14" t="s">
        <v>98</v>
      </c>
      <c r="K2" s="6" t="s">
        <v>108</v>
      </c>
      <c r="L2" s="6" t="s">
        <v>92</v>
      </c>
      <c r="M2" s="6" t="s">
        <v>93</v>
      </c>
      <c r="N2" s="6" t="s">
        <v>98</v>
      </c>
      <c r="O2" s="6" t="s">
        <v>96</v>
      </c>
      <c r="P2" s="6" t="s">
        <v>109</v>
      </c>
      <c r="Q2" s="14" t="s">
        <v>110</v>
      </c>
      <c r="R2" s="14" t="s">
        <v>97</v>
      </c>
      <c r="S2" s="14" t="s">
        <v>98</v>
      </c>
    </row>
    <row r="3" spans="1:23" x14ac:dyDescent="0.35">
      <c r="A3" s="8">
        <v>1</v>
      </c>
      <c r="B3" s="8"/>
      <c r="C3" s="21">
        <v>0.06</v>
      </c>
      <c r="D3" s="30">
        <f>AVERAGE(C4:C4)</f>
        <v>3.2469999999999999E-2</v>
      </c>
      <c r="E3" s="40" t="e">
        <f>(_xlfn.STDEV.S(C4:C4)/SQRT(1))/(D3)</f>
        <v>#DIV/0!</v>
      </c>
      <c r="F3" s="31">
        <f>(D3*$W$11*$W$10)/($W$12*$W$13*$W$14*10^-3)</f>
        <v>0.90194444444444444</v>
      </c>
      <c r="G3" s="29">
        <f>F3*1000</f>
        <v>901.94444444444446</v>
      </c>
      <c r="H3" s="30"/>
      <c r="I3" s="31">
        <f>AVERAGE(G3:G12)</f>
        <v>604.88888888888891</v>
      </c>
      <c r="J3" s="32">
        <f>(_xlfn.STDEV.S(G3:G12)/SQRT(5))/(I3)</f>
        <v>0.15593113677987241</v>
      </c>
      <c r="K3" s="8"/>
      <c r="L3" s="25">
        <v>7.4399999999999994E-2</v>
      </c>
      <c r="M3" s="30">
        <f>AVERAGE(L3:L4)</f>
        <v>7.3800000000000004E-2</v>
      </c>
      <c r="N3" s="32">
        <f t="shared" ref="N3" si="0">(_xlfn.STDEV.S(L3:L4)/SQRT(2))/(M3)</f>
        <v>8.1300813008129587E-3</v>
      </c>
      <c r="O3" s="31">
        <f>(M3*$W$11*$W$10)/($W$12*$W$13*$W$14*10^-3)</f>
        <v>2.0500000000000003</v>
      </c>
      <c r="P3" s="29">
        <f>O3*1000</f>
        <v>2050.0000000000005</v>
      </c>
      <c r="Q3" s="30"/>
      <c r="R3" s="29">
        <f>AVERAGE(P3:P12)</f>
        <v>1651.5555555555554</v>
      </c>
      <c r="S3" s="32">
        <f>(_xlfn.STDEV.S(P3:P12)/SQRT(5))/(R3)</f>
        <v>0.12561331523686942</v>
      </c>
    </row>
    <row r="4" spans="1:23" x14ac:dyDescent="0.35">
      <c r="A4" s="8">
        <v>1</v>
      </c>
      <c r="B4" s="8"/>
      <c r="C4" s="22">
        <v>3.2469999999999999E-2</v>
      </c>
      <c r="D4" s="30"/>
      <c r="E4" s="40"/>
      <c r="F4" s="31"/>
      <c r="G4" s="29"/>
      <c r="H4" s="30"/>
      <c r="I4" s="30"/>
      <c r="J4" s="32"/>
      <c r="K4" s="8"/>
      <c r="L4" s="25">
        <v>7.3200000000000001E-2</v>
      </c>
      <c r="M4" s="30"/>
      <c r="N4" s="32"/>
      <c r="O4" s="31"/>
      <c r="P4" s="29"/>
      <c r="Q4" s="30"/>
      <c r="R4" s="29"/>
      <c r="S4" s="32"/>
    </row>
    <row r="5" spans="1:23" x14ac:dyDescent="0.35">
      <c r="A5" s="8">
        <v>2</v>
      </c>
      <c r="B5" s="8"/>
      <c r="C5" s="21">
        <v>1.2E-2</v>
      </c>
      <c r="D5" s="30">
        <f>AVERAGE(C6:C6)</f>
        <v>2.486E-2</v>
      </c>
      <c r="E5" s="40" t="e">
        <f>(_xlfn.STDEV.S(C6:C6)/SQRT(1))/(D5)</f>
        <v>#DIV/0!</v>
      </c>
      <c r="F5" s="31">
        <f t="shared" ref="F5" si="1">(D5*$W$11*$W$10)/($W$12*$W$13*$W$14*10^-3)</f>
        <v>0.6905555555555557</v>
      </c>
      <c r="G5" s="29">
        <f t="shared" ref="G5" si="2">F5*1000</f>
        <v>690.55555555555566</v>
      </c>
      <c r="H5" s="30"/>
      <c r="I5" s="30"/>
      <c r="J5" s="32"/>
      <c r="K5" s="8"/>
      <c r="L5" s="25">
        <v>3.9539999999999999E-2</v>
      </c>
      <c r="M5" s="30">
        <f t="shared" ref="M5" si="3">AVERAGE(L5:L6)</f>
        <v>3.5574999999999996E-2</v>
      </c>
      <c r="N5" s="32">
        <f t="shared" ref="N5" si="4">(_xlfn.STDEV.S(L5:L6)/SQRT(2))/(M5)</f>
        <v>0.11145467322557974</v>
      </c>
      <c r="O5" s="31">
        <f t="shared" ref="O5" si="5">(M5*$W$11*$W$10)/($W$12*$W$13*$W$14*10^-3)</f>
        <v>0.98819444444444449</v>
      </c>
      <c r="P5" s="29">
        <f t="shared" ref="P5" si="6">O5*1000</f>
        <v>988.19444444444446</v>
      </c>
      <c r="Q5" s="30"/>
      <c r="R5" s="29"/>
      <c r="S5" s="32"/>
    </row>
    <row r="6" spans="1:23" x14ac:dyDescent="0.35">
      <c r="A6" s="8">
        <v>2</v>
      </c>
      <c r="B6" s="8"/>
      <c r="C6" s="22">
        <v>2.486E-2</v>
      </c>
      <c r="D6" s="30"/>
      <c r="E6" s="40"/>
      <c r="F6" s="31"/>
      <c r="G6" s="29"/>
      <c r="H6" s="30"/>
      <c r="I6" s="30"/>
      <c r="J6" s="32"/>
      <c r="K6" s="8"/>
      <c r="L6" s="25">
        <v>3.1609999999999999E-2</v>
      </c>
      <c r="M6" s="30"/>
      <c r="N6" s="32"/>
      <c r="O6" s="31"/>
      <c r="P6" s="29"/>
      <c r="Q6" s="30"/>
      <c r="R6" s="29"/>
      <c r="S6" s="32"/>
    </row>
    <row r="7" spans="1:23" x14ac:dyDescent="0.35">
      <c r="A7" s="8">
        <v>3</v>
      </c>
      <c r="B7" s="8"/>
      <c r="C7" s="22">
        <v>1.634E-2</v>
      </c>
      <c r="D7" s="30">
        <f t="shared" ref="D7" si="7">AVERAGE(C7:C8)</f>
        <v>1.4460000000000001E-2</v>
      </c>
      <c r="E7" s="32">
        <f t="shared" ref="E7" si="8">(_xlfn.STDEV.S(C7:C8)/SQRT(2))/(D7)</f>
        <v>0.13001383125864455</v>
      </c>
      <c r="F7" s="31">
        <f t="shared" ref="F7" si="9">(D7*$W$11*$W$10)/($W$12*$W$13*$W$14*10^-3)</f>
        <v>0.40166666666666673</v>
      </c>
      <c r="G7" s="29">
        <f t="shared" ref="G7" si="10">F7*1000</f>
        <v>401.66666666666674</v>
      </c>
      <c r="H7" s="30"/>
      <c r="I7" s="30"/>
      <c r="J7" s="32"/>
      <c r="K7" s="8"/>
      <c r="L7" s="25">
        <v>8.7999999999999995E-2</v>
      </c>
      <c r="M7" s="30">
        <f t="shared" ref="M7" si="11">AVERAGE(L7:L8)</f>
        <v>7.3999999999999996E-2</v>
      </c>
      <c r="N7" s="39">
        <f t="shared" ref="N7" si="12">(_xlfn.STDEV.S(L7:L8)/SQRT(2))/(M7)</f>
        <v>0.18918918918918959</v>
      </c>
      <c r="O7" s="31">
        <f t="shared" ref="O7" si="13">(M7*$W$11*$W$10)/($W$12*$W$13*$W$14*10^-3)</f>
        <v>2.0555555555555558</v>
      </c>
      <c r="P7" s="29">
        <f t="shared" ref="P7" si="14">O7*1000</f>
        <v>2055.5555555555557</v>
      </c>
      <c r="Q7" s="30"/>
      <c r="R7" s="29"/>
      <c r="S7" s="32"/>
    </row>
    <row r="8" spans="1:23" x14ac:dyDescent="0.35">
      <c r="A8" s="8">
        <v>3</v>
      </c>
      <c r="B8" s="8"/>
      <c r="C8" s="22">
        <v>1.2579999999999999E-2</v>
      </c>
      <c r="D8" s="30"/>
      <c r="E8" s="32"/>
      <c r="F8" s="31"/>
      <c r="G8" s="29"/>
      <c r="H8" s="30"/>
      <c r="I8" s="30"/>
      <c r="J8" s="32"/>
      <c r="K8" s="8"/>
      <c r="L8" s="25">
        <v>0.06</v>
      </c>
      <c r="M8" s="30"/>
      <c r="N8" s="39"/>
      <c r="O8" s="31"/>
      <c r="P8" s="29"/>
      <c r="Q8" s="30"/>
      <c r="R8" s="29"/>
      <c r="S8" s="32"/>
    </row>
    <row r="9" spans="1:23" x14ac:dyDescent="0.35">
      <c r="A9" s="8">
        <v>4</v>
      </c>
      <c r="B9" s="8"/>
      <c r="C9" s="22">
        <v>1.6289999999999999E-2</v>
      </c>
      <c r="D9" s="30">
        <f t="shared" ref="D9" si="15">AVERAGE(C9:C10)</f>
        <v>1.4525E-2</v>
      </c>
      <c r="E9" s="32">
        <f t="shared" ref="E9" si="16">(_xlfn.STDEV.S(C9:C10)/SQRT(2))/(D9)</f>
        <v>0.12151462994836483</v>
      </c>
      <c r="F9" s="31">
        <f t="shared" ref="F9" si="17">(D9*$W$11*$W$10)/($W$12*$W$13*$W$14*10^-3)</f>
        <v>0.40347222222222223</v>
      </c>
      <c r="G9" s="29">
        <f t="shared" ref="G9" si="18">F9*1000</f>
        <v>403.47222222222223</v>
      </c>
      <c r="H9" s="30"/>
      <c r="I9" s="30"/>
      <c r="J9" s="32"/>
      <c r="K9" s="8"/>
      <c r="L9" s="25">
        <v>6.3100000000000003E-2</v>
      </c>
      <c r="M9" s="30">
        <f t="shared" ref="M9" si="19">AVERAGE(L9:L10)</f>
        <v>6.4549999999999996E-2</v>
      </c>
      <c r="N9" s="32">
        <f t="shared" ref="N9" si="20">(_xlfn.STDEV.S(L9:L10)/SQRT(2))/(M9)</f>
        <v>2.2463206816421374E-2</v>
      </c>
      <c r="O9" s="31">
        <f t="shared" ref="O9" si="21">(M9*$W$11*$W$10)/($W$12*$W$13*$W$14*10^-3)</f>
        <v>1.7930555555555556</v>
      </c>
      <c r="P9" s="29">
        <f t="shared" ref="P9" si="22">O9*1000</f>
        <v>1793.0555555555557</v>
      </c>
      <c r="Q9" s="30"/>
      <c r="R9" s="29"/>
      <c r="S9" s="32"/>
    </row>
    <row r="10" spans="1:23" x14ac:dyDescent="0.35">
      <c r="A10" s="8">
        <v>4</v>
      </c>
      <c r="B10" s="8"/>
      <c r="C10" s="22">
        <v>1.2760000000000001E-2</v>
      </c>
      <c r="D10" s="30"/>
      <c r="E10" s="32"/>
      <c r="F10" s="31"/>
      <c r="G10" s="29"/>
      <c r="H10" s="30"/>
      <c r="I10" s="30"/>
      <c r="J10" s="32"/>
      <c r="K10" s="8"/>
      <c r="L10" s="25">
        <v>6.6000000000000003E-2</v>
      </c>
      <c r="M10" s="30"/>
      <c r="N10" s="32"/>
      <c r="O10" s="31"/>
      <c r="P10" s="29"/>
      <c r="Q10" s="30"/>
      <c r="R10" s="29"/>
      <c r="S10" s="32"/>
      <c r="V10" s="24" t="s">
        <v>114</v>
      </c>
      <c r="W10">
        <v>8</v>
      </c>
    </row>
    <row r="11" spans="1:23" x14ac:dyDescent="0.35">
      <c r="A11" s="8">
        <v>5</v>
      </c>
      <c r="B11" s="8"/>
      <c r="C11" s="22">
        <v>2.24E-2</v>
      </c>
      <c r="D11" s="30">
        <f t="shared" ref="D11" si="23">AVERAGE(C11:C12)</f>
        <v>2.2565000000000002E-2</v>
      </c>
      <c r="E11" s="32">
        <f t="shared" ref="E11" si="24">(_xlfn.STDEV.S(C11:C12)/SQRT(2))/(D11)</f>
        <v>7.3122091734987892E-3</v>
      </c>
      <c r="F11" s="31">
        <f t="shared" ref="F11" si="25">(D11*$W$11*$W$10)/($W$12*$W$13*$W$14*10^-3)</f>
        <v>0.62680555555555562</v>
      </c>
      <c r="G11" s="29">
        <f t="shared" ref="G11" si="26">F11*1000</f>
        <v>626.80555555555566</v>
      </c>
      <c r="H11" s="30"/>
      <c r="I11" s="30"/>
      <c r="J11" s="32"/>
      <c r="K11" s="8"/>
      <c r="L11" s="25">
        <v>5.6570000000000002E-2</v>
      </c>
      <c r="M11" s="30">
        <f t="shared" ref="M11" si="27">AVERAGE(L11:L12)</f>
        <v>4.9354999999999996E-2</v>
      </c>
      <c r="N11" s="32">
        <f t="shared" ref="N11" si="28">(_xlfn.STDEV.S(L11:L12)/SQRT(2))/(M11)</f>
        <v>0.14618579677844243</v>
      </c>
      <c r="O11" s="31">
        <f t="shared" ref="O11" si="29">(M11*$W$11*$W$10)/($W$12*$W$13*$W$14*10^-3)</f>
        <v>1.3709722222222223</v>
      </c>
      <c r="P11" s="29">
        <f t="shared" ref="P11" si="30">O11*1000</f>
        <v>1370.9722222222222</v>
      </c>
      <c r="Q11" s="30"/>
      <c r="R11" s="29"/>
      <c r="S11" s="32"/>
      <c r="V11" s="24" t="s">
        <v>115</v>
      </c>
      <c r="W11">
        <v>0.2</v>
      </c>
    </row>
    <row r="12" spans="1:23" x14ac:dyDescent="0.35">
      <c r="A12" s="8">
        <v>5</v>
      </c>
      <c r="B12" s="8"/>
      <c r="C12" s="22">
        <v>2.273E-2</v>
      </c>
      <c r="D12" s="30"/>
      <c r="E12" s="32"/>
      <c r="F12" s="31"/>
      <c r="G12" s="29"/>
      <c r="H12" s="30"/>
      <c r="I12" s="30"/>
      <c r="J12" s="32"/>
      <c r="K12" s="8"/>
      <c r="L12" s="25">
        <v>4.2139999999999997E-2</v>
      </c>
      <c r="M12" s="30"/>
      <c r="N12" s="32"/>
      <c r="O12" s="31"/>
      <c r="P12" s="29"/>
      <c r="Q12" s="30"/>
      <c r="R12" s="29"/>
      <c r="S12" s="32"/>
      <c r="V12" s="24" t="s">
        <v>116</v>
      </c>
      <c r="W12">
        <v>9600</v>
      </c>
    </row>
    <row r="13" spans="1:23" x14ac:dyDescent="0.35">
      <c r="A13" s="8">
        <v>6</v>
      </c>
      <c r="B13" s="8"/>
      <c r="C13" s="22">
        <v>1.7600000000000001E-2</v>
      </c>
      <c r="D13" s="30">
        <f t="shared" ref="D13" si="31">AVERAGE(C13:C14)</f>
        <v>1.7600000000000001E-2</v>
      </c>
      <c r="E13" s="32">
        <f t="shared" ref="E13" si="32">(_xlfn.STDEV.S(C13:C14)/SQRT(2))/(D13)</f>
        <v>0</v>
      </c>
      <c r="F13" s="31">
        <f t="shared" ref="F13" si="33">(D13*$W$11*$W$10)/($W$12*$W$13*$W$14*10^-3)</f>
        <v>0.48888888888888898</v>
      </c>
      <c r="G13" s="29">
        <f t="shared" ref="G13" si="34">F13*1000</f>
        <v>488.88888888888897</v>
      </c>
      <c r="H13" s="30"/>
      <c r="I13" s="31">
        <f t="shared" ref="I13" si="35">AVERAGE(G13:G22)</f>
        <v>713.38888888888891</v>
      </c>
      <c r="J13" s="39">
        <f t="shared" ref="J13" si="36">(_xlfn.STDEV.S(G13:G22)/SQRT(5))/(I13)</f>
        <v>0.3449503537399185</v>
      </c>
      <c r="K13" s="8"/>
      <c r="L13" s="26">
        <v>7.4800000000000005E-2</v>
      </c>
      <c r="M13" s="30">
        <f t="shared" ref="M13" si="37">AVERAGE(L13:L14)</f>
        <v>5.6755E-2</v>
      </c>
      <c r="N13" s="39">
        <f t="shared" ref="N13" si="38">(_xlfn.STDEV.S(L13:L14)/SQRT(2))/(M13)</f>
        <v>0.31794555545766923</v>
      </c>
      <c r="O13" s="31">
        <f t="shared" ref="O13" si="39">(M13*$W$11*$W$10)/($W$12*$W$13*$W$14*10^-3)</f>
        <v>1.5765277777777778</v>
      </c>
      <c r="P13" s="29">
        <f t="shared" ref="P13" si="40">O13*1000</f>
        <v>1576.5277777777778</v>
      </c>
      <c r="Q13" s="30"/>
      <c r="R13" s="29">
        <f t="shared" ref="R13" si="41">AVERAGE(P13:P22)</f>
        <v>1409.166666666667</v>
      </c>
      <c r="S13" s="32">
        <f t="shared" ref="S13" si="42">(_xlfn.STDEV.S(P13:P22)/SQRT(5))/(R13)</f>
        <v>0.17653707789553305</v>
      </c>
      <c r="V13" s="24" t="s">
        <v>117</v>
      </c>
      <c r="W13">
        <v>0.01</v>
      </c>
    </row>
    <row r="14" spans="1:23" x14ac:dyDescent="0.35">
      <c r="A14" s="8">
        <v>6</v>
      </c>
      <c r="B14" s="8"/>
      <c r="C14" s="22">
        <v>1.7600000000000001E-2</v>
      </c>
      <c r="D14" s="30"/>
      <c r="E14" s="32"/>
      <c r="F14" s="31"/>
      <c r="G14" s="29"/>
      <c r="H14" s="30"/>
      <c r="I14" s="30"/>
      <c r="J14" s="39"/>
      <c r="K14" s="8"/>
      <c r="L14" s="26">
        <v>3.8710000000000001E-2</v>
      </c>
      <c r="M14" s="30"/>
      <c r="N14" s="39"/>
      <c r="O14" s="31"/>
      <c r="P14" s="29"/>
      <c r="Q14" s="30"/>
      <c r="R14" s="29"/>
      <c r="S14" s="32"/>
      <c r="V14" s="24" t="s">
        <v>118</v>
      </c>
      <c r="W14">
        <v>0.6</v>
      </c>
    </row>
    <row r="15" spans="1:23" x14ac:dyDescent="0.35">
      <c r="A15" s="8">
        <v>7</v>
      </c>
      <c r="B15" s="8"/>
      <c r="C15" s="22">
        <v>1.404E-2</v>
      </c>
      <c r="D15" s="30">
        <f t="shared" ref="D15" si="43">AVERAGE(C15:C16)</f>
        <v>1.5090000000000001E-2</v>
      </c>
      <c r="E15" s="32">
        <f t="shared" ref="E15" si="44">(_xlfn.STDEV.S(C15:C16)/SQRT(2))/(D15)</f>
        <v>6.9582504970178954E-2</v>
      </c>
      <c r="F15" s="31">
        <f t="shared" ref="F15" si="45">(D15*$W$11*$W$10)/($W$12*$W$13*$W$14*10^-3)</f>
        <v>0.41916666666666674</v>
      </c>
      <c r="G15" s="29">
        <f t="shared" ref="G15" si="46">F15*1000</f>
        <v>419.16666666666674</v>
      </c>
      <c r="H15" s="30"/>
      <c r="I15" s="30"/>
      <c r="J15" s="39"/>
      <c r="K15" s="8"/>
      <c r="L15" s="25">
        <v>2.103E-2</v>
      </c>
      <c r="M15" s="30">
        <f t="shared" ref="M15" si="47">AVERAGE(L15:L16)</f>
        <v>2.5160000000000002E-2</v>
      </c>
      <c r="N15" s="32">
        <f t="shared" ref="N15" si="48">(_xlfn.STDEV.S(L15:L16)/SQRT(2))/(M15)</f>
        <v>0.16414944356120811</v>
      </c>
      <c r="O15" s="31">
        <f t="shared" ref="O15" si="49">(M15*$W$11*$W$10)/($W$12*$W$13*$W$14*10^-3)</f>
        <v>0.698888888888889</v>
      </c>
      <c r="P15" s="29">
        <f t="shared" ref="P15" si="50">O15*1000</f>
        <v>698.88888888888903</v>
      </c>
      <c r="Q15" s="30"/>
      <c r="R15" s="29"/>
      <c r="S15" s="32"/>
    </row>
    <row r="16" spans="1:23" x14ac:dyDescent="0.35">
      <c r="A16" s="8">
        <v>7</v>
      </c>
      <c r="B16" s="8"/>
      <c r="C16" s="22">
        <v>1.6140000000000002E-2</v>
      </c>
      <c r="D16" s="30"/>
      <c r="E16" s="32"/>
      <c r="F16" s="31"/>
      <c r="G16" s="29"/>
      <c r="H16" s="30"/>
      <c r="I16" s="30"/>
      <c r="J16" s="39"/>
      <c r="K16" s="8"/>
      <c r="L16" s="25">
        <v>2.929E-2</v>
      </c>
      <c r="M16" s="30"/>
      <c r="N16" s="32"/>
      <c r="O16" s="31"/>
      <c r="P16" s="29"/>
      <c r="Q16" s="30"/>
      <c r="R16" s="29"/>
      <c r="S16" s="32"/>
    </row>
    <row r="17" spans="1:19" x14ac:dyDescent="0.35">
      <c r="A17" s="8">
        <v>8</v>
      </c>
      <c r="B17" s="8"/>
      <c r="C17" s="22">
        <v>1.451E-2</v>
      </c>
      <c r="D17" s="30">
        <f t="shared" ref="D17" si="51">AVERAGE(C17:C18)</f>
        <v>1.3934999999999999E-2</v>
      </c>
      <c r="E17" s="32">
        <f t="shared" ref="E17" si="52">(_xlfn.STDEV.S(C17:C18)/SQRT(2))/(D17)</f>
        <v>4.1263006817366346E-2</v>
      </c>
      <c r="F17" s="31">
        <f t="shared" ref="F17" si="53">(D17*$W$11*$W$10)/($W$12*$W$13*$W$14*10^-3)</f>
        <v>0.38708333333333333</v>
      </c>
      <c r="G17" s="29">
        <f t="shared" ref="G17" si="54">F17*1000</f>
        <v>387.08333333333331</v>
      </c>
      <c r="H17" s="30"/>
      <c r="I17" s="30"/>
      <c r="J17" s="39"/>
      <c r="K17" s="8"/>
      <c r="L17" s="26">
        <v>8.48E-2</v>
      </c>
      <c r="M17" s="38">
        <f t="shared" ref="M17" si="55">AVERAGE(L17:L18)</f>
        <v>8.0055000000000001E-2</v>
      </c>
      <c r="N17" s="39">
        <f t="shared" ref="N17" si="56">(_xlfn.STDEV.S(L17:L18)/SQRT(2))/(M17)</f>
        <v>5.9271750671413395E-2</v>
      </c>
      <c r="O17" s="31">
        <f t="shared" ref="O17" si="57">(M17*$W$11*$W$10)/($W$12*$W$13*$W$14*10^-3)</f>
        <v>2.2237500000000003</v>
      </c>
      <c r="P17" s="29">
        <f t="shared" ref="P17" si="58">O17*1000</f>
        <v>2223.7500000000005</v>
      </c>
      <c r="Q17" s="30"/>
      <c r="R17" s="29"/>
      <c r="S17" s="32"/>
    </row>
    <row r="18" spans="1:19" x14ac:dyDescent="0.35">
      <c r="A18" s="8">
        <v>8</v>
      </c>
      <c r="B18" s="8"/>
      <c r="C18" s="22">
        <v>1.336E-2</v>
      </c>
      <c r="D18" s="30"/>
      <c r="E18" s="32"/>
      <c r="F18" s="31"/>
      <c r="G18" s="29"/>
      <c r="H18" s="30"/>
      <c r="I18" s="30"/>
      <c r="J18" s="39"/>
      <c r="K18" s="8"/>
      <c r="L18" s="26">
        <v>7.5310000000000002E-2</v>
      </c>
      <c r="M18" s="38"/>
      <c r="N18" s="39"/>
      <c r="O18" s="31"/>
      <c r="P18" s="29"/>
      <c r="Q18" s="30"/>
      <c r="R18" s="29"/>
      <c r="S18" s="32"/>
    </row>
    <row r="19" spans="1:19" x14ac:dyDescent="0.35">
      <c r="A19" s="8">
        <v>9</v>
      </c>
      <c r="B19" s="8"/>
      <c r="C19" s="21">
        <v>5.0860000000000002E-2</v>
      </c>
      <c r="D19" s="38">
        <f t="shared" ref="D19" si="59">AVERAGE(C19:C20)</f>
        <v>6.0784999999999999E-2</v>
      </c>
      <c r="E19" s="39">
        <f t="shared" ref="E19" si="60">(_xlfn.STDEV.S(C19:C20)/SQRT(2))/(D19)</f>
        <v>0.16328041457596421</v>
      </c>
      <c r="F19" s="41">
        <f t="shared" ref="F19" si="61">(D19*$W$11*$W$10)/($W$12*$W$13*$W$14*10^-3)</f>
        <v>1.6884722222222224</v>
      </c>
      <c r="G19" s="42">
        <f t="shared" ref="G19" si="62">F19*1000</f>
        <v>1688.4722222222224</v>
      </c>
      <c r="H19" s="30"/>
      <c r="I19" s="30"/>
      <c r="J19" s="39"/>
      <c r="K19" s="8"/>
      <c r="L19" s="25">
        <v>4.5199999999999997E-2</v>
      </c>
      <c r="M19" s="30">
        <f t="shared" ref="M19" si="63">AVERAGE(L19:L20)</f>
        <v>4.7600000000000003E-2</v>
      </c>
      <c r="N19" s="32">
        <f t="shared" ref="N19" si="64">(_xlfn.STDEV.S(L19:L20)/SQRT(2))/(M19)</f>
        <v>5.0420168067226941E-2</v>
      </c>
      <c r="O19" s="31">
        <f t="shared" ref="O19" si="65">(M19*$W$11*$W$10)/($W$12*$W$13*$W$14*10^-3)</f>
        <v>1.3222222222222224</v>
      </c>
      <c r="P19" s="29">
        <f t="shared" ref="P19" si="66">O19*1000</f>
        <v>1322.2222222222224</v>
      </c>
      <c r="Q19" s="30"/>
      <c r="R19" s="29"/>
      <c r="S19" s="32"/>
    </row>
    <row r="20" spans="1:19" x14ac:dyDescent="0.35">
      <c r="A20" s="8">
        <v>9</v>
      </c>
      <c r="B20" s="8"/>
      <c r="C20" s="21">
        <v>7.0709999999999995E-2</v>
      </c>
      <c r="D20" s="38"/>
      <c r="E20" s="39"/>
      <c r="F20" s="41"/>
      <c r="G20" s="42"/>
      <c r="H20" s="30"/>
      <c r="I20" s="30"/>
      <c r="J20" s="39"/>
      <c r="K20" s="8"/>
      <c r="L20" s="25">
        <v>0.05</v>
      </c>
      <c r="M20" s="30"/>
      <c r="N20" s="32"/>
      <c r="O20" s="31"/>
      <c r="P20" s="29"/>
      <c r="Q20" s="30"/>
      <c r="R20" s="29"/>
      <c r="S20" s="32"/>
    </row>
    <row r="21" spans="1:19" x14ac:dyDescent="0.35">
      <c r="A21" s="8">
        <v>10</v>
      </c>
      <c r="B21" s="8"/>
      <c r="C21" s="22">
        <v>2.1000000000000001E-2</v>
      </c>
      <c r="D21" s="30">
        <f t="shared" ref="D21" si="67">AVERAGE(C21:C22)</f>
        <v>2.1000000000000001E-2</v>
      </c>
      <c r="E21" s="40" t="e">
        <f t="shared" ref="E21" si="68">(_xlfn.STDEV.S(C21:C22)/SQRT(2))/(D21)</f>
        <v>#DIV/0!</v>
      </c>
      <c r="F21" s="31">
        <f t="shared" ref="F21" si="69">(D21*$W$11*$W$10)/($W$12*$W$13*$W$14*10^-3)</f>
        <v>0.58333333333333348</v>
      </c>
      <c r="G21" s="29">
        <f t="shared" ref="G21" si="70">F21*1000</f>
        <v>583.33333333333348</v>
      </c>
      <c r="H21" s="30"/>
      <c r="I21" s="30"/>
      <c r="J21" s="39"/>
      <c r="K21" s="8"/>
      <c r="L21" s="25">
        <v>4.2290000000000001E-2</v>
      </c>
      <c r="M21" s="30">
        <f t="shared" ref="M21" si="71">AVERAGE(L21:L22)</f>
        <v>4.4080000000000001E-2</v>
      </c>
      <c r="N21" s="32">
        <f t="shared" ref="N21" si="72">(_xlfn.STDEV.S(L21:L22)/SQRT(2))/(M21)</f>
        <v>4.0607985480943735E-2</v>
      </c>
      <c r="O21" s="31">
        <f t="shared" ref="O21" si="73">(M21*$W$11*$W$10)/($W$12*$W$13*$W$14*10^-3)</f>
        <v>1.2244444444444447</v>
      </c>
      <c r="P21" s="29">
        <f t="shared" ref="P21" si="74">O21*1000</f>
        <v>1224.4444444444446</v>
      </c>
      <c r="Q21" s="30"/>
      <c r="R21" s="29"/>
      <c r="S21" s="32"/>
    </row>
    <row r="22" spans="1:19" x14ac:dyDescent="0.35">
      <c r="A22" s="8">
        <v>10</v>
      </c>
      <c r="B22" s="8"/>
      <c r="C22" s="23" t="s">
        <v>113</v>
      </c>
      <c r="D22" s="30"/>
      <c r="E22" s="40"/>
      <c r="F22" s="31"/>
      <c r="G22" s="29"/>
      <c r="H22" s="30"/>
      <c r="I22" s="30"/>
      <c r="J22" s="39"/>
      <c r="K22" s="8"/>
      <c r="L22" s="25">
        <v>4.5870000000000001E-2</v>
      </c>
      <c r="M22" s="30"/>
      <c r="N22" s="32"/>
      <c r="O22" s="31"/>
      <c r="P22" s="29"/>
      <c r="Q22" s="30"/>
      <c r="R22" s="29"/>
      <c r="S22" s="32"/>
    </row>
    <row r="23" spans="1:19" x14ac:dyDescent="0.35">
      <c r="A23" s="8">
        <v>11</v>
      </c>
      <c r="B23" s="8"/>
      <c r="C23" s="22">
        <v>1.83E-2</v>
      </c>
      <c r="D23" s="30">
        <f t="shared" ref="D23" si="75">AVERAGE(C23:C24)</f>
        <v>2.0115000000000001E-2</v>
      </c>
      <c r="E23" s="32">
        <f t="shared" ref="E23" si="76">(_xlfn.STDEV.S(C23:C24)/SQRT(2))/(D23)</f>
        <v>9.0231170768083541E-2</v>
      </c>
      <c r="F23" s="31">
        <f t="shared" ref="F23" si="77">(D23*$W$11*$W$10)/($W$12*$W$13*$W$14*10^-3)</f>
        <v>0.55875000000000008</v>
      </c>
      <c r="G23" s="29">
        <f t="shared" ref="G23" si="78">F23*1000</f>
        <v>558.75000000000011</v>
      </c>
      <c r="H23" s="30"/>
      <c r="I23" s="31">
        <f t="shared" ref="I23" si="79">AVERAGE(G23:G32)</f>
        <v>554.91666666666674</v>
      </c>
      <c r="J23" s="32">
        <f t="shared" ref="J23" si="80">(_xlfn.STDEV.S(G23:G32)/SQRT(5))/(I23)</f>
        <v>6.9668758590622354E-2</v>
      </c>
      <c r="K23" s="8"/>
      <c r="L23" s="25">
        <v>6.1710000000000001E-2</v>
      </c>
      <c r="M23" s="30">
        <f t="shared" ref="M23" si="81">AVERAGE(L23:L24)</f>
        <v>6.0399999999999995E-2</v>
      </c>
      <c r="N23" s="32">
        <f t="shared" ref="N23" si="82">(_xlfn.STDEV.S(L23:L24)/SQRT(2))/(M23)</f>
        <v>2.1688741721854338E-2</v>
      </c>
      <c r="O23" s="31">
        <f t="shared" ref="O23" si="83">(M23*$W$11*$W$10)/($W$12*$W$13*$W$14*10^-3)</f>
        <v>1.6777777777777778</v>
      </c>
      <c r="P23" s="29">
        <f t="shared" ref="P23" si="84">O23*1000</f>
        <v>1677.7777777777778</v>
      </c>
      <c r="Q23" s="30"/>
      <c r="R23" s="29">
        <f t="shared" ref="R23" si="85">AVERAGE(P23:P32)</f>
        <v>1455.8055555555557</v>
      </c>
      <c r="S23" s="32">
        <f t="shared" ref="S23" si="86">(_xlfn.STDEV.S(P23:P32)/SQRT(5))/(R23)</f>
        <v>0.16101865793702139</v>
      </c>
    </row>
    <row r="24" spans="1:19" x14ac:dyDescent="0.35">
      <c r="A24" s="8">
        <v>11</v>
      </c>
      <c r="B24" s="8"/>
      <c r="C24" s="22">
        <v>2.1930000000000002E-2</v>
      </c>
      <c r="D24" s="30"/>
      <c r="E24" s="32"/>
      <c r="F24" s="31"/>
      <c r="G24" s="29"/>
      <c r="H24" s="30"/>
      <c r="I24" s="30"/>
      <c r="J24" s="32"/>
      <c r="K24" s="8"/>
      <c r="L24" s="25">
        <v>5.9089999999999997E-2</v>
      </c>
      <c r="M24" s="30"/>
      <c r="N24" s="32"/>
      <c r="O24" s="31"/>
      <c r="P24" s="29"/>
      <c r="Q24" s="30"/>
      <c r="R24" s="29"/>
      <c r="S24" s="32"/>
    </row>
    <row r="25" spans="1:19" x14ac:dyDescent="0.35">
      <c r="A25" s="8">
        <v>12</v>
      </c>
      <c r="B25" s="8"/>
      <c r="C25" s="22">
        <v>1.6500000000000001E-2</v>
      </c>
      <c r="D25" s="30">
        <f t="shared" ref="D25" si="87">AVERAGE(C25:C26)</f>
        <v>1.6405000000000003E-2</v>
      </c>
      <c r="E25" s="32">
        <f t="shared" ref="E25" si="88">(_xlfn.STDEV.S(C25:C26)/SQRT(2))/(D25)</f>
        <v>5.7909174032306958E-3</v>
      </c>
      <c r="F25" s="31">
        <f t="shared" ref="F25" si="89">(D25*$W$11*$W$10)/($W$12*$W$13*$W$14*10^-3)</f>
        <v>0.45569444444444457</v>
      </c>
      <c r="G25" s="29">
        <f t="shared" ref="G25" si="90">F25*1000</f>
        <v>455.69444444444457</v>
      </c>
      <c r="H25" s="30"/>
      <c r="I25" s="30"/>
      <c r="J25" s="32"/>
      <c r="K25" s="8"/>
      <c r="L25" s="25">
        <v>2.673E-2</v>
      </c>
      <c r="M25" s="30">
        <f t="shared" ref="M25" si="91">AVERAGE(L25:L26)</f>
        <v>2.4164999999999999E-2</v>
      </c>
      <c r="N25" s="32">
        <f t="shared" ref="N25" si="92">(_xlfn.STDEV.S(L25:L26)/SQRT(2))/(M25)</f>
        <v>0.10614525139664802</v>
      </c>
      <c r="O25" s="31">
        <f t="shared" ref="O25" si="93">(M25*$W$11*$W$10)/($W$12*$W$13*$W$14*10^-3)</f>
        <v>0.67125000000000012</v>
      </c>
      <c r="P25" s="29">
        <f t="shared" ref="P25" si="94">O25*1000</f>
        <v>671.25000000000011</v>
      </c>
      <c r="Q25" s="30"/>
      <c r="R25" s="29"/>
      <c r="S25" s="32"/>
    </row>
    <row r="26" spans="1:19" x14ac:dyDescent="0.35">
      <c r="A26" s="8">
        <v>12</v>
      </c>
      <c r="B26" s="8"/>
      <c r="C26" s="22">
        <v>1.6310000000000002E-2</v>
      </c>
      <c r="D26" s="30"/>
      <c r="E26" s="32"/>
      <c r="F26" s="31"/>
      <c r="G26" s="29"/>
      <c r="H26" s="30"/>
      <c r="I26" s="30"/>
      <c r="J26" s="32"/>
      <c r="K26" s="8"/>
      <c r="L26" s="25">
        <v>2.1600000000000001E-2</v>
      </c>
      <c r="M26" s="30"/>
      <c r="N26" s="32"/>
      <c r="O26" s="31"/>
      <c r="P26" s="29"/>
      <c r="Q26" s="30"/>
      <c r="R26" s="29"/>
      <c r="S26" s="32"/>
    </row>
    <row r="27" spans="1:19" x14ac:dyDescent="0.35">
      <c r="A27" s="8">
        <v>13</v>
      </c>
      <c r="B27" s="8"/>
      <c r="C27" s="22">
        <v>1.8509999999999999E-2</v>
      </c>
      <c r="D27" s="30">
        <f t="shared" ref="D27" si="95">AVERAGE(C27:C28)</f>
        <v>1.729E-2</v>
      </c>
      <c r="E27" s="32">
        <f t="shared" ref="E27" si="96">(_xlfn.STDEV.S(C27:C28)/SQRT(2))/(D27)</f>
        <v>7.0561017929438918E-2</v>
      </c>
      <c r="F27" s="31">
        <f t="shared" ref="F27" si="97">(D27*$W$11*$W$10)/($W$12*$W$13*$W$14*10^-3)</f>
        <v>0.4802777777777778</v>
      </c>
      <c r="G27" s="29">
        <f t="shared" ref="G27" si="98">F27*1000</f>
        <v>480.27777777777783</v>
      </c>
      <c r="H27" s="30"/>
      <c r="I27" s="30"/>
      <c r="J27" s="32"/>
      <c r="K27" s="8"/>
      <c r="L27" s="25">
        <v>5.2670000000000002E-2</v>
      </c>
      <c r="M27" s="30">
        <f t="shared" ref="M27" si="99">AVERAGE(L27:L28)</f>
        <v>4.8770000000000001E-2</v>
      </c>
      <c r="N27" s="32">
        <f t="shared" ref="N27" si="100">(_xlfn.STDEV.S(L27:L28)/SQRT(2))/(M27)</f>
        <v>7.9967192946483495E-2</v>
      </c>
      <c r="O27" s="31">
        <f t="shared" ref="O27" si="101">(M27*$W$11*$W$10)/($W$12*$W$13*$W$14*10^-3)</f>
        <v>1.3547222222222224</v>
      </c>
      <c r="P27" s="29">
        <f t="shared" ref="P27" si="102">O27*1000</f>
        <v>1354.7222222222224</v>
      </c>
      <c r="Q27" s="30"/>
      <c r="R27" s="29"/>
      <c r="S27" s="32"/>
    </row>
    <row r="28" spans="1:19" x14ac:dyDescent="0.35">
      <c r="A28" s="8">
        <v>13</v>
      </c>
      <c r="B28" s="8"/>
      <c r="C28" s="22">
        <v>1.6070000000000001E-2</v>
      </c>
      <c r="D28" s="30"/>
      <c r="E28" s="32"/>
      <c r="F28" s="31"/>
      <c r="G28" s="29"/>
      <c r="H28" s="30"/>
      <c r="I28" s="30"/>
      <c r="J28" s="32"/>
      <c r="K28" s="8"/>
      <c r="L28" s="25">
        <v>4.487E-2</v>
      </c>
      <c r="M28" s="30"/>
      <c r="N28" s="32"/>
      <c r="O28" s="31"/>
      <c r="P28" s="29"/>
      <c r="Q28" s="30"/>
      <c r="R28" s="29"/>
      <c r="S28" s="32"/>
    </row>
    <row r="29" spans="1:19" x14ac:dyDescent="0.35">
      <c r="A29" s="8">
        <v>14</v>
      </c>
      <c r="B29" s="8"/>
      <c r="C29" s="22">
        <v>2.3140000000000001E-2</v>
      </c>
      <c r="D29" s="30">
        <f t="shared" ref="D29" si="103">AVERAGE(C29:C30)</f>
        <v>2.2970000000000001E-2</v>
      </c>
      <c r="E29" s="32">
        <f t="shared" ref="E29" si="104">(_xlfn.STDEV.S(C29:C30)/SQRT(2))/(D29)</f>
        <v>7.40095777100566E-3</v>
      </c>
      <c r="F29" s="31">
        <f t="shared" ref="F29" si="105">(D29*$W$11*$W$10)/($W$12*$W$13*$W$14*10^-3)</f>
        <v>0.6380555555555556</v>
      </c>
      <c r="G29" s="29">
        <f t="shared" ref="G29" si="106">F29*1000</f>
        <v>638.05555555555554</v>
      </c>
      <c r="H29" s="30"/>
      <c r="I29" s="30"/>
      <c r="J29" s="32"/>
      <c r="K29" s="8"/>
      <c r="L29" s="25">
        <v>5.0999999999999997E-2</v>
      </c>
      <c r="M29" s="30">
        <f t="shared" ref="M29" si="107">AVERAGE(L29:L30)</f>
        <v>5.2864999999999995E-2</v>
      </c>
      <c r="N29" s="32">
        <f t="shared" ref="N29" si="108">(_xlfn.STDEV.S(L29:L30)/SQRT(2))/(M29)</f>
        <v>3.5278539676534611E-2</v>
      </c>
      <c r="O29" s="31">
        <f t="shared" ref="O29" si="109">(M29*$W$11*$W$10)/($W$12*$W$13*$W$14*10^-3)</f>
        <v>1.4684722222222222</v>
      </c>
      <c r="P29" s="29">
        <f t="shared" ref="P29" si="110">O29*1000</f>
        <v>1468.4722222222222</v>
      </c>
      <c r="Q29" s="30"/>
      <c r="R29" s="29"/>
      <c r="S29" s="32"/>
    </row>
    <row r="30" spans="1:19" x14ac:dyDescent="0.35">
      <c r="A30" s="8">
        <v>14</v>
      </c>
      <c r="B30" s="8"/>
      <c r="C30" s="22">
        <v>2.2800000000000001E-2</v>
      </c>
      <c r="D30" s="30"/>
      <c r="E30" s="32"/>
      <c r="F30" s="31"/>
      <c r="G30" s="29"/>
      <c r="H30" s="30"/>
      <c r="I30" s="30"/>
      <c r="J30" s="32"/>
      <c r="K30" s="8"/>
      <c r="L30" s="25">
        <v>5.4730000000000001E-2</v>
      </c>
      <c r="M30" s="30"/>
      <c r="N30" s="32"/>
      <c r="O30" s="31"/>
      <c r="P30" s="29"/>
      <c r="Q30" s="30"/>
      <c r="R30" s="29"/>
      <c r="S30" s="32"/>
    </row>
    <row r="31" spans="1:19" x14ac:dyDescent="0.35">
      <c r="A31" s="8">
        <v>15</v>
      </c>
      <c r="B31" s="8"/>
      <c r="C31" s="22">
        <v>2.4E-2</v>
      </c>
      <c r="D31" s="30">
        <f t="shared" ref="D31" si="111">AVERAGE(C31:C32)</f>
        <v>2.3105000000000001E-2</v>
      </c>
      <c r="E31" s="32">
        <f t="shared" ref="E31" si="112">(_xlfn.STDEV.S(C31:C32)/SQRT(2))/(D31)</f>
        <v>3.8736204284786843E-2</v>
      </c>
      <c r="F31" s="31">
        <f t="shared" ref="F31" si="113">(D31*$W$11*$W$10)/($W$12*$W$13*$W$14*10^-3)</f>
        <v>0.64180555555555563</v>
      </c>
      <c r="G31" s="29">
        <f t="shared" ref="G31" si="114">F31*1000</f>
        <v>641.80555555555566</v>
      </c>
      <c r="H31" s="30"/>
      <c r="I31" s="30"/>
      <c r="J31" s="32"/>
      <c r="K31" s="8"/>
      <c r="L31" s="25">
        <v>7.5289999999999996E-2</v>
      </c>
      <c r="M31" s="30">
        <f t="shared" ref="M31" si="115">AVERAGE(L31:L32)</f>
        <v>7.5844999999999996E-2</v>
      </c>
      <c r="N31" s="32">
        <f t="shared" ref="N31" si="116">(_xlfn.STDEV.S(L31:L32)/SQRT(2))/(M31)</f>
        <v>7.317555540905794E-3</v>
      </c>
      <c r="O31" s="31">
        <f t="shared" ref="O31" si="117">(M31*$W$11*$W$10)/($W$12*$W$13*$W$14*10^-3)</f>
        <v>2.1068055555555558</v>
      </c>
      <c r="P31" s="29">
        <f t="shared" ref="P31" si="118">O31*1000</f>
        <v>2106.8055555555557</v>
      </c>
      <c r="Q31" s="30"/>
      <c r="R31" s="29"/>
      <c r="S31" s="32"/>
    </row>
    <row r="32" spans="1:19" x14ac:dyDescent="0.35">
      <c r="A32" s="8">
        <v>15</v>
      </c>
      <c r="B32" s="8"/>
      <c r="C32" s="22">
        <v>2.2210000000000001E-2</v>
      </c>
      <c r="D32" s="30"/>
      <c r="E32" s="32"/>
      <c r="F32" s="31"/>
      <c r="G32" s="29"/>
      <c r="H32" s="30"/>
      <c r="I32" s="30"/>
      <c r="J32" s="32"/>
      <c r="K32" s="8"/>
      <c r="L32" s="25">
        <v>7.6399999999999996E-2</v>
      </c>
      <c r="M32" s="30"/>
      <c r="N32" s="32"/>
      <c r="O32" s="31"/>
      <c r="P32" s="29"/>
      <c r="Q32" s="30"/>
      <c r="R32" s="29"/>
      <c r="S32" s="32"/>
    </row>
    <row r="33" spans="1:19" x14ac:dyDescent="0.35">
      <c r="A33" s="8">
        <v>16</v>
      </c>
      <c r="B33" s="8"/>
      <c r="C33" s="22">
        <v>1.84E-2</v>
      </c>
      <c r="D33" s="30">
        <f t="shared" ref="D33" si="119">AVERAGE(C33:C34)</f>
        <v>1.6715000000000001E-2</v>
      </c>
      <c r="E33" s="32">
        <f t="shared" ref="E33" si="120">(_xlfn.STDEV.S(C33:C34)/SQRT(2))/(D33)</f>
        <v>0.10080765779240201</v>
      </c>
      <c r="F33" s="31">
        <f t="shared" ref="F33" si="121">(D33*$W$11*$W$10)/($W$12*$W$13*$W$14*10^-3)</f>
        <v>0.46430555555555564</v>
      </c>
      <c r="G33" s="29">
        <f t="shared" ref="G33" si="122">F33*1000</f>
        <v>464.30555555555566</v>
      </c>
      <c r="H33" s="30"/>
      <c r="I33" s="31">
        <f t="shared" ref="I33" si="123">AVERAGE(G33:G42)</f>
        <v>557.27777777777771</v>
      </c>
      <c r="J33" s="32">
        <f t="shared" ref="J33" si="124">(_xlfn.STDEV.S(G33:G42)/SQRT(5))/(I33)</f>
        <v>0.14201738454824545</v>
      </c>
      <c r="K33" s="8"/>
      <c r="L33" s="25">
        <v>5.7029999999999997E-2</v>
      </c>
      <c r="M33" s="30">
        <f t="shared" ref="M33" si="125">AVERAGE(L33:L34)</f>
        <v>5.9039999999999995E-2</v>
      </c>
      <c r="N33" s="32">
        <f t="shared" ref="N33" si="126">(_xlfn.STDEV.S(L33:L34)/SQRT(2))/(M33)</f>
        <v>3.4044715447154497E-2</v>
      </c>
      <c r="O33" s="31">
        <f t="shared" ref="O33" si="127">(M33*$W$11*$W$10)/($W$12*$W$13*$W$14*10^-3)</f>
        <v>1.64</v>
      </c>
      <c r="P33" s="29">
        <f t="shared" ref="P33" si="128">O33*1000</f>
        <v>1640</v>
      </c>
      <c r="Q33" s="30"/>
      <c r="R33" s="29">
        <f t="shared" ref="R33" si="129">AVERAGE(P33:P42)</f>
        <v>1437.1388888888891</v>
      </c>
      <c r="S33" s="32">
        <f t="shared" ref="S33" si="130">(_xlfn.STDEV.S(P33:P42)/SQRT(5))/(R33)</f>
        <v>0.11354503481650791</v>
      </c>
    </row>
    <row r="34" spans="1:19" x14ac:dyDescent="0.35">
      <c r="A34" s="8">
        <v>16</v>
      </c>
      <c r="B34" s="8"/>
      <c r="C34" s="22">
        <v>1.503E-2</v>
      </c>
      <c r="D34" s="30"/>
      <c r="E34" s="32"/>
      <c r="F34" s="31"/>
      <c r="G34" s="29"/>
      <c r="H34" s="30"/>
      <c r="I34" s="30"/>
      <c r="J34" s="32"/>
      <c r="K34" s="8"/>
      <c r="L34" s="25">
        <v>6.105E-2</v>
      </c>
      <c r="M34" s="30"/>
      <c r="N34" s="32"/>
      <c r="O34" s="31"/>
      <c r="P34" s="29"/>
      <c r="Q34" s="30"/>
      <c r="R34" s="29"/>
      <c r="S34" s="32"/>
    </row>
    <row r="35" spans="1:19" x14ac:dyDescent="0.35">
      <c r="A35" s="8">
        <v>17</v>
      </c>
      <c r="B35" s="8"/>
      <c r="C35" s="22">
        <v>1.3429999999999999E-2</v>
      </c>
      <c r="D35" s="30">
        <f t="shared" ref="D35" si="131">AVERAGE(C35:C36)</f>
        <v>1.2715000000000001E-2</v>
      </c>
      <c r="E35" s="32">
        <f t="shared" ref="E35" si="132">(_xlfn.STDEV.S(C35:C36)/SQRT(2))/(D35)</f>
        <v>5.6232795910342068E-2</v>
      </c>
      <c r="F35" s="31">
        <f t="shared" ref="F35" si="133">(D35*$W$11*$W$10)/($W$12*$W$13*$W$14*10^-3)</f>
        <v>0.35319444444444448</v>
      </c>
      <c r="G35" s="29">
        <f t="shared" ref="G35" si="134">F35*1000</f>
        <v>353.19444444444446</v>
      </c>
      <c r="H35" s="30"/>
      <c r="I35" s="30"/>
      <c r="J35" s="32"/>
      <c r="K35" s="8"/>
      <c r="L35" s="25">
        <v>3.771E-2</v>
      </c>
      <c r="M35" s="30">
        <f t="shared" ref="M35" si="135">AVERAGE(L35:L36)</f>
        <v>3.8339999999999999E-2</v>
      </c>
      <c r="N35" s="32">
        <f t="shared" ref="N35" si="136">(_xlfn.STDEV.S(L35:L36)/SQRT(2))/(M35)</f>
        <v>1.6431924882629071E-2</v>
      </c>
      <c r="O35" s="31">
        <f t="shared" ref="O35" si="137">(M35*$W$11*$W$10)/($W$12*$W$13*$W$14*10^-3)</f>
        <v>1.0650000000000002</v>
      </c>
      <c r="P35" s="29">
        <f t="shared" ref="P35" si="138">O35*1000</f>
        <v>1065.0000000000002</v>
      </c>
      <c r="Q35" s="30"/>
      <c r="R35" s="29"/>
      <c r="S35" s="32"/>
    </row>
    <row r="36" spans="1:19" x14ac:dyDescent="0.35">
      <c r="A36" s="8">
        <v>17</v>
      </c>
      <c r="B36" s="8"/>
      <c r="C36" s="22">
        <v>1.2E-2</v>
      </c>
      <c r="D36" s="30"/>
      <c r="E36" s="32"/>
      <c r="F36" s="31"/>
      <c r="G36" s="29"/>
      <c r="H36" s="30"/>
      <c r="I36" s="30"/>
      <c r="J36" s="32"/>
      <c r="K36" s="8"/>
      <c r="L36" s="25">
        <v>3.8969999999999998E-2</v>
      </c>
      <c r="M36" s="30"/>
      <c r="N36" s="32"/>
      <c r="O36" s="31"/>
      <c r="P36" s="29"/>
      <c r="Q36" s="30"/>
      <c r="R36" s="29"/>
      <c r="S36" s="32"/>
    </row>
    <row r="37" spans="1:19" x14ac:dyDescent="0.35">
      <c r="A37" s="8">
        <v>18</v>
      </c>
      <c r="B37" s="8"/>
      <c r="C37" s="22">
        <v>2.7140000000000001E-2</v>
      </c>
      <c r="D37" s="30">
        <f t="shared" ref="D37" si="139">AVERAGE(C37:C38)</f>
        <v>2.9269999999999997E-2</v>
      </c>
      <c r="E37" s="32">
        <f t="shared" ref="E37" si="140">(_xlfn.STDEV.S(C37:C38)/SQRT(2))/(D37)</f>
        <v>7.27707550392893E-2</v>
      </c>
      <c r="F37" s="31">
        <f t="shared" ref="F37" si="141">(D37*$W$11*$W$10)/($W$12*$W$13*$W$14*10^-3)</f>
        <v>0.81305555555555553</v>
      </c>
      <c r="G37" s="29">
        <f t="shared" ref="G37" si="142">F37*1000</f>
        <v>813.05555555555554</v>
      </c>
      <c r="H37" s="30"/>
      <c r="I37" s="30"/>
      <c r="J37" s="32"/>
      <c r="K37" s="8"/>
      <c r="L37" s="25">
        <v>6.046E-2</v>
      </c>
      <c r="M37" s="30">
        <f t="shared" ref="M37" si="143">AVERAGE(L37:L38)</f>
        <v>6.9429999999999992E-2</v>
      </c>
      <c r="N37" s="32">
        <f t="shared" ref="N37" si="144">(_xlfn.STDEV.S(L37:L38)/SQRT(2))/(M37)</f>
        <v>0.12919487253348833</v>
      </c>
      <c r="O37" s="31">
        <f t="shared" ref="O37" si="145">(M37*$W$11*$W$10)/($W$12*$W$13*$W$14*10^-3)</f>
        <v>1.9286111111111111</v>
      </c>
      <c r="P37" s="29">
        <f t="shared" ref="P37" si="146">O37*1000</f>
        <v>1928.6111111111111</v>
      </c>
      <c r="Q37" s="30"/>
      <c r="R37" s="29"/>
      <c r="S37" s="32"/>
    </row>
    <row r="38" spans="1:19" x14ac:dyDescent="0.35">
      <c r="A38" s="8">
        <v>18</v>
      </c>
      <c r="B38" s="8"/>
      <c r="C38" s="22">
        <v>3.1399999999999997E-2</v>
      </c>
      <c r="D38" s="30"/>
      <c r="E38" s="32"/>
      <c r="F38" s="31"/>
      <c r="G38" s="29"/>
      <c r="H38" s="30"/>
      <c r="I38" s="30"/>
      <c r="J38" s="32"/>
      <c r="K38" s="8"/>
      <c r="L38" s="25">
        <v>7.8399999999999997E-2</v>
      </c>
      <c r="M38" s="30"/>
      <c r="N38" s="32"/>
      <c r="O38" s="31"/>
      <c r="P38" s="29"/>
      <c r="Q38" s="30"/>
      <c r="R38" s="29"/>
      <c r="S38" s="32"/>
    </row>
    <row r="39" spans="1:19" x14ac:dyDescent="0.35">
      <c r="A39" s="8">
        <v>19</v>
      </c>
      <c r="B39" s="8"/>
      <c r="C39" s="22">
        <v>1.8429999999999998E-2</v>
      </c>
      <c r="D39" s="30">
        <f>AVERAGE(C39:C39)</f>
        <v>1.8429999999999998E-2</v>
      </c>
      <c r="E39" s="40" t="e">
        <f>(_xlfn.STDEV.S(C40:C40)/SQRT(1))/(D39)</f>
        <v>#DIV/0!</v>
      </c>
      <c r="F39" s="31">
        <f t="shared" ref="F39" si="147">(D39*$W$11*$W$10)/($W$12*$W$13*$W$14*10^-3)</f>
        <v>0.51194444444444442</v>
      </c>
      <c r="G39" s="29">
        <f t="shared" ref="G39" si="148">F39*1000</f>
        <v>511.9444444444444</v>
      </c>
      <c r="H39" s="30"/>
      <c r="I39" s="30"/>
      <c r="J39" s="32"/>
      <c r="K39" s="8"/>
      <c r="L39" s="25">
        <v>3.6600000000000001E-2</v>
      </c>
      <c r="M39" s="30">
        <f t="shared" ref="M39" si="149">AVERAGE(L39:L40)</f>
        <v>3.9730000000000001E-2</v>
      </c>
      <c r="N39" s="32">
        <f t="shared" ref="N39" si="150">(_xlfn.STDEV.S(L39:L40)/SQRT(2))/(M39)</f>
        <v>7.8781776994714323E-2</v>
      </c>
      <c r="O39" s="31">
        <f t="shared" ref="O39" si="151">(M39*$W$11*$W$10)/($W$12*$W$13*$W$14*10^-3)</f>
        <v>1.1036111111111111</v>
      </c>
      <c r="P39" s="29">
        <f t="shared" ref="P39" si="152">O39*1000</f>
        <v>1103.6111111111111</v>
      </c>
      <c r="Q39" s="30"/>
      <c r="R39" s="29"/>
      <c r="S39" s="32"/>
    </row>
    <row r="40" spans="1:19" x14ac:dyDescent="0.35">
      <c r="A40" s="8">
        <v>19</v>
      </c>
      <c r="B40" s="8"/>
      <c r="C40" s="21">
        <v>4.1599999999999998E-2</v>
      </c>
      <c r="D40" s="30"/>
      <c r="E40" s="40"/>
      <c r="F40" s="31"/>
      <c r="G40" s="29"/>
      <c r="H40" s="30"/>
      <c r="I40" s="30"/>
      <c r="J40" s="32"/>
      <c r="K40" s="8"/>
      <c r="L40" s="25">
        <v>4.2860000000000002E-2</v>
      </c>
      <c r="M40" s="30"/>
      <c r="N40" s="32"/>
      <c r="O40" s="31"/>
      <c r="P40" s="29"/>
      <c r="Q40" s="30"/>
      <c r="R40" s="29"/>
      <c r="S40" s="32"/>
    </row>
    <row r="41" spans="1:19" x14ac:dyDescent="0.35">
      <c r="A41" s="8">
        <v>20</v>
      </c>
      <c r="B41" s="8"/>
      <c r="C41" s="22">
        <v>2.4E-2</v>
      </c>
      <c r="D41" s="30">
        <f t="shared" ref="D41" si="153">AVERAGE(C41:C42)</f>
        <v>2.3179999999999999E-2</v>
      </c>
      <c r="E41" s="32">
        <f t="shared" ref="E41" si="154">(_xlfn.STDEV.S(C41:C42)/SQRT(2))/(D41)</f>
        <v>3.537532355478859E-2</v>
      </c>
      <c r="F41" s="31">
        <f t="shared" ref="F41" si="155">(D41*$W$11*$W$10)/($W$12*$W$13*$W$14*10^-3)</f>
        <v>0.64388888888888896</v>
      </c>
      <c r="G41" s="29">
        <f t="shared" ref="G41" si="156">F41*1000</f>
        <v>643.88888888888891</v>
      </c>
      <c r="H41" s="30"/>
      <c r="I41" s="30"/>
      <c r="J41" s="32"/>
      <c r="K41" s="8"/>
      <c r="L41" s="25">
        <v>4.929E-2</v>
      </c>
      <c r="M41" s="30">
        <f t="shared" ref="M41" si="157">AVERAGE(L41:L42)</f>
        <v>5.2144999999999997E-2</v>
      </c>
      <c r="N41" s="32">
        <f t="shared" ref="N41" si="158">(_xlfn.STDEV.S(L41:L42)/SQRT(2))/(M41)</f>
        <v>5.4751174609262626E-2</v>
      </c>
      <c r="O41" s="31">
        <f t="shared" ref="O41" si="159">(M41*$W$11*$W$10)/($W$12*$W$13*$W$14*10^-3)</f>
        <v>1.4484722222222224</v>
      </c>
      <c r="P41" s="29">
        <f t="shared" ref="P41" si="160">O41*1000</f>
        <v>1448.4722222222224</v>
      </c>
      <c r="Q41" s="30"/>
      <c r="R41" s="29"/>
      <c r="S41" s="32"/>
    </row>
    <row r="42" spans="1:19" x14ac:dyDescent="0.35">
      <c r="A42" s="8">
        <v>20</v>
      </c>
      <c r="B42" s="8"/>
      <c r="C42" s="22">
        <v>2.2360000000000001E-2</v>
      </c>
      <c r="D42" s="30"/>
      <c r="E42" s="32"/>
      <c r="F42" s="31"/>
      <c r="G42" s="29"/>
      <c r="H42" s="30"/>
      <c r="I42" s="30"/>
      <c r="J42" s="32"/>
      <c r="K42" s="8"/>
      <c r="L42" s="25">
        <v>5.5E-2</v>
      </c>
      <c r="M42" s="30"/>
      <c r="N42" s="32"/>
      <c r="O42" s="31"/>
      <c r="P42" s="29"/>
      <c r="Q42" s="30"/>
      <c r="R42" s="29"/>
      <c r="S42" s="32"/>
    </row>
  </sheetData>
  <mergeCells count="218"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</mergeCells>
  <conditionalFormatting sqref="B2">
    <cfRule type="beginsWith" dxfId="1" priority="2" operator="beginsWith" text="NA">
      <formula>LEFT(B2,LEN("NA"))="NA"</formula>
    </cfRule>
  </conditionalFormatting>
  <conditionalFormatting sqref="L2">
    <cfRule type="beginsWith" dxfId="0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22" zoomScale="85" zoomScaleNormal="85" workbookViewId="0">
      <selection activeCell="B46" sqref="B46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125</v>
      </c>
      <c r="C2" t="s">
        <v>128</v>
      </c>
      <c r="D2" t="s">
        <v>124</v>
      </c>
    </row>
    <row r="3" spans="1:12" x14ac:dyDescent="0.35">
      <c r="A3" t="s">
        <v>127</v>
      </c>
      <c r="B3">
        <v>0.34200000000000003</v>
      </c>
      <c r="C3">
        <f>B3-0.027</f>
        <v>0.315</v>
      </c>
      <c r="D3">
        <v>0</v>
      </c>
      <c r="L3" t="s">
        <v>130</v>
      </c>
    </row>
    <row r="4" spans="1:12" x14ac:dyDescent="0.35">
      <c r="A4" t="s">
        <v>127</v>
      </c>
      <c r="B4">
        <v>0.35899999999999999</v>
      </c>
      <c r="C4">
        <f>B4-0.025</f>
        <v>0.33399999999999996</v>
      </c>
      <c r="D4">
        <v>0</v>
      </c>
      <c r="L4" t="s">
        <v>131</v>
      </c>
    </row>
    <row r="5" spans="1:12" x14ac:dyDescent="0.35">
      <c r="A5" t="s">
        <v>126</v>
      </c>
      <c r="B5">
        <v>0.34200000000000003</v>
      </c>
      <c r="C5">
        <f t="shared" ref="C5:C7" si="0">B5-0.027</f>
        <v>0.315</v>
      </c>
      <c r="D5">
        <v>0</v>
      </c>
      <c r="L5" t="s">
        <v>132</v>
      </c>
    </row>
    <row r="6" spans="1:12" x14ac:dyDescent="0.35">
      <c r="A6" t="s">
        <v>126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126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126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126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126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126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126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126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126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126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126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126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126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44" t="s">
        <v>134</v>
      </c>
      <c r="C20" s="44"/>
      <c r="D20" s="44"/>
      <c r="E20" s="44"/>
      <c r="F20" s="44"/>
      <c r="G20" s="44"/>
      <c r="H20" s="44"/>
      <c r="I20" s="45" t="s">
        <v>133</v>
      </c>
      <c r="J20" s="45"/>
      <c r="K20" s="45"/>
      <c r="L20" s="45"/>
      <c r="M20" s="45"/>
      <c r="N20" s="45"/>
      <c r="O20" s="45"/>
      <c r="P20" s="8"/>
    </row>
    <row r="21" spans="1:16" x14ac:dyDescent="0.35">
      <c r="A21" s="8" t="s">
        <v>0</v>
      </c>
      <c r="B21" s="8" t="s">
        <v>125</v>
      </c>
      <c r="C21" s="8" t="s">
        <v>128</v>
      </c>
      <c r="D21" s="8" t="s">
        <v>124</v>
      </c>
      <c r="E21" s="8" t="s">
        <v>93</v>
      </c>
      <c r="F21" s="8" t="s">
        <v>98</v>
      </c>
      <c r="G21" s="8" t="s">
        <v>129</v>
      </c>
      <c r="H21" s="8" t="s">
        <v>98</v>
      </c>
      <c r="I21" s="8" t="s">
        <v>125</v>
      </c>
      <c r="J21" s="8" t="s">
        <v>128</v>
      </c>
      <c r="K21" s="8" t="s">
        <v>124</v>
      </c>
      <c r="L21" s="8" t="s">
        <v>93</v>
      </c>
      <c r="M21" s="8" t="s">
        <v>98</v>
      </c>
      <c r="N21" s="8" t="s">
        <v>129</v>
      </c>
      <c r="O21" s="8" t="s">
        <v>98</v>
      </c>
      <c r="P21" s="8"/>
    </row>
    <row r="22" spans="1:16" x14ac:dyDescent="0.35">
      <c r="A22" s="8">
        <v>1</v>
      </c>
      <c r="B22" s="25">
        <v>0.245</v>
      </c>
      <c r="C22" s="25">
        <f>B22-0.046</f>
        <v>0.19900000000000001</v>
      </c>
      <c r="D22" s="8">
        <f xml:space="preserve"> (C22-0.3256)/(-0.0005)</f>
        <v>253.2</v>
      </c>
      <c r="E22" s="30">
        <f>AVERAGE(D22:D23)</f>
        <v>260.2</v>
      </c>
      <c r="F22" s="46">
        <f>(_xlfn.STDEV.S(D22:D23)/SQRT(2))/E22</f>
        <v>2.6902382782475018E-2</v>
      </c>
      <c r="G22" s="30">
        <f>AVERAGE(E22:E31)</f>
        <v>363.6</v>
      </c>
      <c r="H22" s="46">
        <f>(_xlfn.STDEV.S(E22:E31)/SQRT(5))/G22</f>
        <v>0.14189020443531195</v>
      </c>
      <c r="I22" s="25">
        <v>0.22800000000000001</v>
      </c>
      <c r="J22" s="25">
        <f>I22-0.147</f>
        <v>8.1000000000000016E-2</v>
      </c>
      <c r="K22" s="8">
        <f xml:space="preserve"> (J22-0.3256)/(-0.0005)</f>
        <v>489.19999999999993</v>
      </c>
      <c r="L22" s="30">
        <f>AVERAGE(K22:K23)</f>
        <v>478.19999999999993</v>
      </c>
      <c r="M22" s="46">
        <f>(_xlfn.STDEV.S(K22:K23)/SQRT(2))/L22</f>
        <v>2.3002927645336624E-2</v>
      </c>
      <c r="N22" s="30">
        <f>AVERAGE(L22:L31)</f>
        <v>438.6</v>
      </c>
      <c r="O22" s="46">
        <f>(_xlfn.STDEV.S(L22:L31)/SQRT(5))/N22</f>
        <v>3.461970432485599E-2</v>
      </c>
      <c r="P22" s="8"/>
    </row>
    <row r="23" spans="1:16" x14ac:dyDescent="0.35">
      <c r="A23" s="8">
        <v>1</v>
      </c>
      <c r="B23" s="25">
        <v>0.24299999999999999</v>
      </c>
      <c r="C23" s="25">
        <f>B23-0.051</f>
        <v>0.192</v>
      </c>
      <c r="D23" s="8">
        <f xml:space="preserve"> (C23-0.3256)/(-0.0005)</f>
        <v>267.2</v>
      </c>
      <c r="E23" s="30"/>
      <c r="F23" s="46"/>
      <c r="G23" s="30"/>
      <c r="H23" s="46"/>
      <c r="I23" s="25">
        <v>0.24399999999999999</v>
      </c>
      <c r="J23" s="25">
        <f>I23-0.152</f>
        <v>9.1999999999999998E-2</v>
      </c>
      <c r="K23" s="8">
        <f t="shared" ref="K23:K61" si="1" xml:space="preserve"> (J23-0.3256)/(-0.0005)</f>
        <v>467.2</v>
      </c>
      <c r="L23" s="30"/>
      <c r="M23" s="46"/>
      <c r="N23" s="30"/>
      <c r="O23" s="46"/>
      <c r="P23" s="8"/>
    </row>
    <row r="24" spans="1:16" x14ac:dyDescent="0.35">
      <c r="A24" s="8">
        <v>2</v>
      </c>
      <c r="B24" s="25">
        <v>0.20899999999999999</v>
      </c>
      <c r="C24" s="25">
        <f>B24-0.039</f>
        <v>0.16999999999999998</v>
      </c>
      <c r="D24" s="8">
        <f t="shared" ref="D24:D61" si="2" xml:space="preserve"> (C24-0.3256)/(-0.0005)</f>
        <v>311.20000000000005</v>
      </c>
      <c r="E24" s="30">
        <f t="shared" ref="E24" si="3">AVERAGE(D24:D25)</f>
        <v>323.2</v>
      </c>
      <c r="F24" s="46">
        <f t="shared" ref="F24" si="4">(_xlfn.STDEV.S(D24:D25)/(SQRT(2)))/E24</f>
        <v>3.7128712871286954E-2</v>
      </c>
      <c r="G24" s="30"/>
      <c r="H24" s="46"/>
      <c r="I24" s="25">
        <v>0.16500000000000001</v>
      </c>
      <c r="J24" s="25">
        <f>I24-0.074</f>
        <v>9.1000000000000011E-2</v>
      </c>
      <c r="K24" s="8">
        <f t="shared" si="1"/>
        <v>469.19999999999993</v>
      </c>
      <c r="L24" s="30">
        <f t="shared" ref="L24" si="5">AVERAGE(K24:K25)</f>
        <v>459.2</v>
      </c>
      <c r="M24" s="46">
        <f t="shared" ref="M24" si="6">(_xlfn.STDEV.S(K24:K25)/(SQRT(2)))/L24</f>
        <v>2.1777003484320431E-2</v>
      </c>
      <c r="N24" s="30"/>
      <c r="O24" s="46"/>
      <c r="P24" s="8"/>
    </row>
    <row r="25" spans="1:16" x14ac:dyDescent="0.35">
      <c r="A25" s="8">
        <v>2</v>
      </c>
      <c r="B25" s="25">
        <v>0.20100000000000001</v>
      </c>
      <c r="C25" s="25">
        <f>B25-0.043</f>
        <v>0.15800000000000003</v>
      </c>
      <c r="D25" s="8">
        <f t="shared" si="2"/>
        <v>335.19999999999993</v>
      </c>
      <c r="E25" s="30"/>
      <c r="F25" s="46"/>
      <c r="G25" s="30"/>
      <c r="H25" s="46"/>
      <c r="I25" s="25">
        <v>0.17499999999999999</v>
      </c>
      <c r="J25" s="25">
        <f t="shared" ref="J23:J61" si="7">I25-0.074</f>
        <v>0.10099999999999999</v>
      </c>
      <c r="K25" s="8">
        <f t="shared" si="1"/>
        <v>449.20000000000005</v>
      </c>
      <c r="L25" s="30"/>
      <c r="M25" s="46"/>
      <c r="N25" s="30"/>
      <c r="O25" s="46"/>
      <c r="P25" s="8"/>
    </row>
    <row r="26" spans="1:16" x14ac:dyDescent="0.35">
      <c r="A26" s="8">
        <v>3</v>
      </c>
      <c r="B26" s="25">
        <v>0.14699999999999999</v>
      </c>
      <c r="C26" s="25">
        <f>B26-0.049</f>
        <v>9.799999999999999E-2</v>
      </c>
      <c r="D26" s="8">
        <f t="shared" si="2"/>
        <v>455.20000000000005</v>
      </c>
      <c r="E26" s="30">
        <f t="shared" ref="E26" si="8">AVERAGE(D26:D27)</f>
        <v>463.2</v>
      </c>
      <c r="F26" s="46">
        <f t="shared" ref="F26" si="9">(_xlfn.STDEV.S(D26:D27)/(SQRT(2)))/E26</f>
        <v>1.72711571675301E-2</v>
      </c>
      <c r="G26" s="30"/>
      <c r="H26" s="46"/>
      <c r="I26" s="25">
        <v>0.19500000000000001</v>
      </c>
      <c r="J26" s="25">
        <f>I26-0.096</f>
        <v>9.9000000000000005E-2</v>
      </c>
      <c r="K26" s="8">
        <f t="shared" si="1"/>
        <v>453.2</v>
      </c>
      <c r="L26" s="30">
        <f t="shared" ref="L26" si="10">AVERAGE(K26:K27)</f>
        <v>449.2</v>
      </c>
      <c r="M26" s="46">
        <f t="shared" ref="M26" si="11">(_xlfn.STDEV.S(K26:K27)/(SQRT(2)))/L26</f>
        <v>8.9047195013357075E-3</v>
      </c>
      <c r="N26" s="30"/>
      <c r="O26" s="46"/>
      <c r="P26" s="8"/>
    </row>
    <row r="27" spans="1:16" x14ac:dyDescent="0.35">
      <c r="A27" s="8">
        <v>3</v>
      </c>
      <c r="B27" s="25">
        <v>0.13900000000000001</v>
      </c>
      <c r="C27" s="25">
        <f>B27-0.049</f>
        <v>9.0000000000000011E-2</v>
      </c>
      <c r="D27" s="8">
        <f t="shared" si="2"/>
        <v>471.19999999999993</v>
      </c>
      <c r="E27" s="30"/>
      <c r="F27" s="46"/>
      <c r="G27" s="30"/>
      <c r="H27" s="46"/>
      <c r="I27" s="25">
        <v>0.19700000000000001</v>
      </c>
      <c r="J27" s="25">
        <f>I27-0.094</f>
        <v>0.10300000000000001</v>
      </c>
      <c r="K27" s="8">
        <f t="shared" si="1"/>
        <v>445.2</v>
      </c>
      <c r="L27" s="30"/>
      <c r="M27" s="46"/>
      <c r="N27" s="30"/>
      <c r="O27" s="46"/>
      <c r="P27" s="8"/>
    </row>
    <row r="28" spans="1:16" x14ac:dyDescent="0.35">
      <c r="A28" s="8">
        <v>4</v>
      </c>
      <c r="B28" s="25">
        <v>0.12</v>
      </c>
      <c r="C28" s="25">
        <f>B28-0.049</f>
        <v>7.0999999999999994E-2</v>
      </c>
      <c r="D28" s="8">
        <f t="shared" si="2"/>
        <v>509.2</v>
      </c>
      <c r="E28" s="30">
        <f t="shared" ref="E28" si="12">AVERAGE(D28:D29)</f>
        <v>508.2</v>
      </c>
      <c r="F28" s="46">
        <f t="shared" ref="F28" si="13">(_xlfn.STDEV.S(D28:D29)/(SQRT(2)))/E28</f>
        <v>1.9677292404565133E-3</v>
      </c>
      <c r="G28" s="30"/>
      <c r="H28" s="46"/>
      <c r="I28" s="25">
        <v>0.33100000000000002</v>
      </c>
      <c r="J28" s="25">
        <f>I28-0.213</f>
        <v>0.11800000000000002</v>
      </c>
      <c r="K28" s="8">
        <f t="shared" si="1"/>
        <v>415.19999999999993</v>
      </c>
      <c r="L28" s="30">
        <f t="shared" ref="L28" si="14">AVERAGE(K28:K29)</f>
        <v>403.2</v>
      </c>
      <c r="M28" s="46">
        <f t="shared" ref="M28" si="15">(_xlfn.STDEV.S(K28:K29)/(SQRT(2)))/L28</f>
        <v>2.9761904761904621E-2</v>
      </c>
      <c r="N28" s="30"/>
      <c r="O28" s="46"/>
      <c r="P28" s="8"/>
    </row>
    <row r="29" spans="1:16" x14ac:dyDescent="0.35">
      <c r="A29" s="8">
        <v>4</v>
      </c>
      <c r="B29" s="25">
        <v>0.121</v>
      </c>
      <c r="C29" s="25">
        <f>B29-0.049</f>
        <v>7.1999999999999995E-2</v>
      </c>
      <c r="D29" s="8">
        <f t="shared" si="2"/>
        <v>507.2</v>
      </c>
      <c r="E29" s="30"/>
      <c r="F29" s="46"/>
      <c r="G29" s="30"/>
      <c r="H29" s="46"/>
      <c r="I29" s="25">
        <v>0.35699999999999998</v>
      </c>
      <c r="J29" s="25">
        <f>I29-0.227</f>
        <v>0.12999999999999998</v>
      </c>
      <c r="K29" s="8">
        <f t="shared" si="1"/>
        <v>391.20000000000005</v>
      </c>
      <c r="L29" s="30"/>
      <c r="M29" s="46"/>
      <c r="N29" s="30"/>
      <c r="O29" s="46"/>
      <c r="P29" s="8"/>
    </row>
    <row r="30" spans="1:16" x14ac:dyDescent="0.35">
      <c r="A30" s="8">
        <v>5</v>
      </c>
      <c r="B30" s="25">
        <v>0.26</v>
      </c>
      <c r="C30" s="25">
        <f>B30-0.059</f>
        <v>0.20100000000000001</v>
      </c>
      <c r="D30" s="8">
        <f t="shared" si="2"/>
        <v>249.19999999999996</v>
      </c>
      <c r="E30" s="30">
        <f t="shared" ref="E30" si="16">AVERAGE(D30:D31)</f>
        <v>263.2</v>
      </c>
      <c r="F30" s="46">
        <f t="shared" ref="F30" si="17">(_xlfn.STDEV.S(D30:D31)/(SQRT(2)))/E30</f>
        <v>5.3191489361702184E-2</v>
      </c>
      <c r="G30" s="30"/>
      <c r="H30" s="46"/>
      <c r="I30" s="25">
        <v>0.24399999999999999</v>
      </c>
      <c r="J30" s="25">
        <f>I30-0.116</f>
        <v>0.128</v>
      </c>
      <c r="K30" s="8">
        <f t="shared" si="1"/>
        <v>395.2</v>
      </c>
      <c r="L30" s="30">
        <f t="shared" ref="L30" si="18">AVERAGE(K30:K31)</f>
        <v>403.2</v>
      </c>
      <c r="M30" s="46">
        <f t="shared" ref="M30" si="19">(_xlfn.STDEV.S(K30:K31)/(SQRT(2)))/L30</f>
        <v>1.984126984126984E-2</v>
      </c>
      <c r="N30" s="30"/>
      <c r="O30" s="46"/>
      <c r="P30" s="8"/>
    </row>
    <row r="31" spans="1:16" x14ac:dyDescent="0.35">
      <c r="A31" s="8">
        <v>5</v>
      </c>
      <c r="B31" s="25">
        <v>0.255</v>
      </c>
      <c r="C31" s="25">
        <f>B31-0.068</f>
        <v>0.187</v>
      </c>
      <c r="D31" s="8">
        <f t="shared" si="2"/>
        <v>277.2</v>
      </c>
      <c r="E31" s="30"/>
      <c r="F31" s="46"/>
      <c r="G31" s="30"/>
      <c r="H31" s="46"/>
      <c r="I31" s="25">
        <v>0.24299999999999999</v>
      </c>
      <c r="J31" s="25">
        <f>I31-0.123</f>
        <v>0.12</v>
      </c>
      <c r="K31" s="8">
        <f t="shared" si="1"/>
        <v>411.2</v>
      </c>
      <c r="L31" s="30"/>
      <c r="M31" s="46"/>
      <c r="N31" s="30"/>
      <c r="O31" s="46"/>
      <c r="P31" s="8"/>
    </row>
    <row r="32" spans="1:16" x14ac:dyDescent="0.35">
      <c r="A32" s="8">
        <v>6</v>
      </c>
      <c r="B32" s="25">
        <v>0.13400000000000001</v>
      </c>
      <c r="C32" s="25">
        <f>B32-0.046</f>
        <v>8.8000000000000009E-2</v>
      </c>
      <c r="D32" s="8">
        <f t="shared" si="2"/>
        <v>475.19999999999993</v>
      </c>
      <c r="E32" s="30">
        <f>AVERAGE(D32:D33)</f>
        <v>483.19999999999993</v>
      </c>
      <c r="F32" s="46">
        <f>(_xlfn.STDEV.S(D32:D33)/(SQRT(2)))/E32</f>
        <v>1.6556291390728478E-2</v>
      </c>
      <c r="G32" s="30">
        <f t="shared" ref="G32" si="20">AVERAGE(E32:E41)</f>
        <v>407.6</v>
      </c>
      <c r="H32" s="46">
        <f t="shared" ref="H32" si="21">(_xlfn.STDEV.S(E32:E41)/SQRT(5))/G32</f>
        <v>0.13391441117421968</v>
      </c>
      <c r="I32" s="25">
        <v>0.224</v>
      </c>
      <c r="J32" s="25">
        <f>I32-0.083</f>
        <v>0.14100000000000001</v>
      </c>
      <c r="K32" s="8">
        <f t="shared" si="1"/>
        <v>369.2</v>
      </c>
      <c r="L32" s="30">
        <f>AVERAGE(K32:K33)</f>
        <v>390.2</v>
      </c>
      <c r="M32" s="46">
        <f>(_xlfn.STDEV.S(K32:K33)/(SQRT(2)))/L32</f>
        <v>5.3818554587391071E-2</v>
      </c>
      <c r="N32" s="30">
        <f t="shared" ref="N32" si="22">AVERAGE(L32:L41)</f>
        <v>428.2</v>
      </c>
      <c r="O32" s="46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5">
        <v>0.13200000000000001</v>
      </c>
      <c r="C33" s="25">
        <f>B33-0.052</f>
        <v>8.0000000000000016E-2</v>
      </c>
      <c r="D33" s="8">
        <f t="shared" si="2"/>
        <v>491.19999999999993</v>
      </c>
      <c r="E33" s="30"/>
      <c r="F33" s="46"/>
      <c r="G33" s="30"/>
      <c r="H33" s="46"/>
      <c r="I33" s="25">
        <v>0.21099999999999999</v>
      </c>
      <c r="J33" s="25">
        <f>I33-0.091</f>
        <v>0.12</v>
      </c>
      <c r="K33" s="8">
        <f t="shared" si="1"/>
        <v>411.2</v>
      </c>
      <c r="L33" s="30"/>
      <c r="M33" s="46"/>
      <c r="N33" s="30"/>
      <c r="O33" s="46"/>
      <c r="P33" s="8"/>
    </row>
    <row r="34" spans="1:16" x14ac:dyDescent="0.35">
      <c r="A34" s="8">
        <v>7</v>
      </c>
      <c r="B34" s="25">
        <v>0.246</v>
      </c>
      <c r="C34" s="25">
        <f>B34-0.055</f>
        <v>0.191</v>
      </c>
      <c r="D34" s="8">
        <f t="shared" si="2"/>
        <v>269.2</v>
      </c>
      <c r="E34" s="30">
        <f t="shared" ref="E34" si="24">AVERAGE(D34:D35)</f>
        <v>274.2</v>
      </c>
      <c r="F34" s="46">
        <f t="shared" ref="F34" si="25">(_xlfn.STDEV.S(D34:D35)/(SQRT(2)))/E34</f>
        <v>1.8234865061998541E-2</v>
      </c>
      <c r="G34" s="30"/>
      <c r="H34" s="46"/>
      <c r="I34" s="25">
        <v>0.17299999999999999</v>
      </c>
      <c r="J34" s="25">
        <f>I34-0.063</f>
        <v>0.10999999999999999</v>
      </c>
      <c r="K34" s="8">
        <f t="shared" si="1"/>
        <v>431.20000000000005</v>
      </c>
      <c r="L34" s="30">
        <f t="shared" ref="L34" si="26">AVERAGE(K34:K35)</f>
        <v>438.20000000000005</v>
      </c>
      <c r="M34" s="46">
        <f t="shared" ref="M34" si="27">(_xlfn.STDEV.S(K34:K35)/(SQRT(2)))/L34</f>
        <v>1.597444089456862E-2</v>
      </c>
      <c r="N34" s="30"/>
      <c r="O34" s="46"/>
      <c r="P34" s="8"/>
    </row>
    <row r="35" spans="1:16" x14ac:dyDescent="0.35">
      <c r="A35" s="8">
        <v>7</v>
      </c>
      <c r="B35" s="25">
        <v>0.24199999999999999</v>
      </c>
      <c r="C35" s="25">
        <f>B35-0.056</f>
        <v>0.186</v>
      </c>
      <c r="D35" s="8">
        <f t="shared" si="2"/>
        <v>279.2</v>
      </c>
      <c r="E35" s="30"/>
      <c r="F35" s="46"/>
      <c r="G35" s="30"/>
      <c r="H35" s="46"/>
      <c r="I35" s="25">
        <v>0.16700000000000001</v>
      </c>
      <c r="J35" s="25">
        <f>I35-0.064</f>
        <v>0.10300000000000001</v>
      </c>
      <c r="K35" s="8">
        <f t="shared" si="1"/>
        <v>445.2</v>
      </c>
      <c r="L35" s="30"/>
      <c r="M35" s="46"/>
      <c r="N35" s="30"/>
      <c r="O35" s="46"/>
      <c r="P35" s="8"/>
    </row>
    <row r="36" spans="1:16" x14ac:dyDescent="0.35">
      <c r="A36" s="8">
        <v>8</v>
      </c>
      <c r="B36" s="25">
        <v>0.23200000000000001</v>
      </c>
      <c r="C36" s="25">
        <f>B36-0.038</f>
        <v>0.19400000000000001</v>
      </c>
      <c r="D36" s="8">
        <f t="shared" si="2"/>
        <v>263.2</v>
      </c>
      <c r="E36" s="30">
        <f t="shared" ref="E36" si="28">AVERAGE(D36:D37)</f>
        <v>274.2</v>
      </c>
      <c r="F36" s="46">
        <f t="shared" ref="F36" si="29">(_xlfn.STDEV.S(D36:D37)/(SQRT(2)))/E36</f>
        <v>4.0116703136396786E-2</v>
      </c>
      <c r="G36" s="30"/>
      <c r="H36" s="46"/>
      <c r="I36" s="25">
        <v>0.186</v>
      </c>
      <c r="J36" s="25">
        <f>I36-0.096</f>
        <v>0.09</v>
      </c>
      <c r="K36" s="8">
        <f t="shared" si="1"/>
        <v>471.2</v>
      </c>
      <c r="L36" s="30">
        <f t="shared" ref="L36" si="30">AVERAGE(K36:K37)</f>
        <v>476.2</v>
      </c>
      <c r="M36" s="46">
        <f t="shared" ref="M36" si="31">(_xlfn.STDEV.S(K36:K37)/(SQRT(2)))/L36</f>
        <v>1.0499790004199917E-2</v>
      </c>
      <c r="N36" s="30"/>
      <c r="O36" s="46"/>
      <c r="P36" s="8"/>
    </row>
    <row r="37" spans="1:16" x14ac:dyDescent="0.35">
      <c r="A37" s="8">
        <v>8</v>
      </c>
      <c r="B37" s="25">
        <v>0.22600000000000001</v>
      </c>
      <c r="C37" s="25">
        <f>B37-0.043</f>
        <v>0.183</v>
      </c>
      <c r="D37" s="8">
        <f t="shared" si="2"/>
        <v>285.2</v>
      </c>
      <c r="E37" s="30"/>
      <c r="F37" s="46"/>
      <c r="G37" s="30"/>
      <c r="H37" s="46"/>
      <c r="I37" s="25">
        <v>0.186</v>
      </c>
      <c r="J37" s="25">
        <f>I37-0.101</f>
        <v>8.4999999999999992E-2</v>
      </c>
      <c r="K37" s="8">
        <f t="shared" si="1"/>
        <v>481.2</v>
      </c>
      <c r="L37" s="30"/>
      <c r="M37" s="46"/>
      <c r="N37" s="30"/>
      <c r="O37" s="46"/>
      <c r="P37" s="8"/>
    </row>
    <row r="38" spans="1:16" x14ac:dyDescent="0.35">
      <c r="A38" s="8">
        <v>9</v>
      </c>
      <c r="B38" s="25">
        <v>0.113</v>
      </c>
      <c r="C38" s="25">
        <f>B38-0.04</f>
        <v>7.3000000000000009E-2</v>
      </c>
      <c r="D38" s="8">
        <f t="shared" si="2"/>
        <v>505.2</v>
      </c>
      <c r="E38" s="30">
        <f t="shared" ref="E38" si="32">AVERAGE(D38:D39)</f>
        <v>502.20000000000005</v>
      </c>
      <c r="F38" s="46">
        <f t="shared" ref="F38" si="33">(_xlfn.STDEV.S(D38:D39)/(SQRT(2)))/E38</f>
        <v>5.9737156511349481E-3</v>
      </c>
      <c r="G38" s="30"/>
      <c r="H38" s="46"/>
      <c r="I38" s="25">
        <v>0.19800000000000001</v>
      </c>
      <c r="J38" s="25">
        <f>I38-0.048</f>
        <v>0.15000000000000002</v>
      </c>
      <c r="K38" s="8">
        <f t="shared" si="1"/>
        <v>351.19999999999993</v>
      </c>
      <c r="L38" s="30">
        <f t="shared" ref="L38" si="34">AVERAGE(K38:K39)</f>
        <v>383.19999999999993</v>
      </c>
      <c r="M38" s="46">
        <f t="shared" ref="M38" si="35">(_xlfn.STDEV.S(K38:K39)/(SQRT(2)))/L38</f>
        <v>8.3507306889352831E-2</v>
      </c>
      <c r="N38" s="30"/>
      <c r="O38" s="46"/>
      <c r="P38" s="8"/>
    </row>
    <row r="39" spans="1:16" x14ac:dyDescent="0.35">
      <c r="A39" s="8">
        <v>9</v>
      </c>
      <c r="B39" s="25">
        <v>0.11799999999999999</v>
      </c>
      <c r="C39" s="25">
        <f>B39-0.042</f>
        <v>7.5999999999999984E-2</v>
      </c>
      <c r="D39" s="8">
        <f t="shared" si="2"/>
        <v>499.20000000000005</v>
      </c>
      <c r="E39" s="30"/>
      <c r="F39" s="46"/>
      <c r="G39" s="30"/>
      <c r="H39" s="46"/>
      <c r="I39" s="25">
        <v>0.16900000000000001</v>
      </c>
      <c r="J39" s="25">
        <f>I39-0.051</f>
        <v>0.11800000000000002</v>
      </c>
      <c r="K39" s="8">
        <f t="shared" si="1"/>
        <v>415.19999999999993</v>
      </c>
      <c r="L39" s="30"/>
      <c r="M39" s="46"/>
      <c r="N39" s="30"/>
      <c r="O39" s="46"/>
      <c r="P39" s="8"/>
    </row>
    <row r="40" spans="1:16" x14ac:dyDescent="0.35">
      <c r="A40" s="8">
        <v>10</v>
      </c>
      <c r="B40" s="25">
        <v>0.11799999999999999</v>
      </c>
      <c r="C40" s="25">
        <f>B40-0.041</f>
        <v>7.6999999999999985E-2</v>
      </c>
      <c r="D40" s="8">
        <f t="shared" si="2"/>
        <v>497.20000000000005</v>
      </c>
      <c r="E40" s="30">
        <f t="shared" ref="E40" si="36">AVERAGE(D40:D41)</f>
        <v>504.20000000000005</v>
      </c>
      <c r="F40" s="46">
        <f t="shared" ref="F40" si="37">(_xlfn.STDEV.S(D40:D41)/(SQRT(2)))/E40</f>
        <v>1.3883379611265312E-2</v>
      </c>
      <c r="G40" s="30"/>
      <c r="H40" s="46"/>
      <c r="I40" s="25">
        <v>0.16300000000000001</v>
      </c>
      <c r="J40" s="25">
        <f>I40-0.059</f>
        <v>0.10400000000000001</v>
      </c>
      <c r="K40" s="8">
        <f t="shared" si="1"/>
        <v>443.2</v>
      </c>
      <c r="L40" s="30">
        <f t="shared" ref="L40" si="38">AVERAGE(K40:K41)</f>
        <v>453.2</v>
      </c>
      <c r="M40" s="46">
        <f t="shared" ref="M40" si="39">(_xlfn.STDEV.S(K40:K41)/(SQRT(2)))/L40</f>
        <v>2.2065313327449251E-2</v>
      </c>
      <c r="N40" s="30"/>
      <c r="O40" s="46"/>
      <c r="P40" s="8"/>
    </row>
    <row r="41" spans="1:16" x14ac:dyDescent="0.35">
      <c r="A41" s="8">
        <v>10</v>
      </c>
      <c r="B41" s="25">
        <v>0.112</v>
      </c>
      <c r="C41" s="25">
        <f>B41-0.042</f>
        <v>7.0000000000000007E-2</v>
      </c>
      <c r="D41" s="8">
        <f t="shared" si="2"/>
        <v>511.2</v>
      </c>
      <c r="E41" s="30"/>
      <c r="F41" s="46"/>
      <c r="G41" s="30"/>
      <c r="H41" s="46"/>
      <c r="I41" s="25">
        <v>0.153</v>
      </c>
      <c r="J41" s="25">
        <f>I41-0.059</f>
        <v>9.4E-2</v>
      </c>
      <c r="K41" s="8">
        <f t="shared" si="1"/>
        <v>463.2</v>
      </c>
      <c r="L41" s="30"/>
      <c r="M41" s="46"/>
      <c r="N41" s="30"/>
      <c r="O41" s="46"/>
      <c r="P41" s="8"/>
    </row>
    <row r="42" spans="1:16" x14ac:dyDescent="0.35">
      <c r="A42" s="8">
        <v>11</v>
      </c>
      <c r="B42" s="25">
        <v>0.26800000000000002</v>
      </c>
      <c r="C42" s="25">
        <f>B42-0.048</f>
        <v>0.22000000000000003</v>
      </c>
      <c r="D42" s="8">
        <f t="shared" si="2"/>
        <v>211.19999999999993</v>
      </c>
      <c r="E42" s="30">
        <f>AVERAGE(D42:D43)</f>
        <v>215.19999999999993</v>
      </c>
      <c r="F42" s="46">
        <f>(_xlfn.STDEV.S(D42:D43)/(SQRT(2)))/E42</f>
        <v>1.8587360594795543E-2</v>
      </c>
      <c r="G42" s="30">
        <f t="shared" ref="G42" si="40">AVERAGE(E42:E51)</f>
        <v>366.99999999999989</v>
      </c>
      <c r="H42" s="46">
        <f t="shared" ref="H42" si="41">(_xlfn.STDEV.S(E42:E51)/SQRT(5))/G42</f>
        <v>0.15108346853455856</v>
      </c>
      <c r="I42" s="25">
        <v>0.29599999999999999</v>
      </c>
      <c r="J42" s="25">
        <f>I42-0.132</f>
        <v>0.16399999999999998</v>
      </c>
      <c r="K42" s="8">
        <f t="shared" si="1"/>
        <v>323.20000000000005</v>
      </c>
      <c r="L42" s="30">
        <f>AVERAGE(K42:K43)</f>
        <v>338.20000000000005</v>
      </c>
      <c r="M42" s="46">
        <f>(_xlfn.STDEV.S(K42:K43)/(SQRT(2)))/L42</f>
        <v>4.4352454169130688E-2</v>
      </c>
      <c r="N42" s="30">
        <f t="shared" ref="N42" si="42">AVERAGE(L42:L51)</f>
        <v>343.4</v>
      </c>
      <c r="O42" s="46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5">
        <v>0.26400000000000001</v>
      </c>
      <c r="C43" s="25">
        <f>B43-0.048</f>
        <v>0.21600000000000003</v>
      </c>
      <c r="D43" s="8">
        <f t="shared" si="2"/>
        <v>219.19999999999993</v>
      </c>
      <c r="E43" s="30"/>
      <c r="F43" s="46"/>
      <c r="G43" s="30"/>
      <c r="H43" s="46"/>
      <c r="I43" s="25">
        <v>0.28199999999999997</v>
      </c>
      <c r="J43" s="25">
        <f>I43-0.133</f>
        <v>0.14899999999999997</v>
      </c>
      <c r="K43" s="8">
        <f t="shared" si="1"/>
        <v>353.20000000000005</v>
      </c>
      <c r="L43" s="30"/>
      <c r="M43" s="46"/>
      <c r="N43" s="30"/>
      <c r="O43" s="46"/>
      <c r="P43" s="8"/>
    </row>
    <row r="44" spans="1:16" x14ac:dyDescent="0.35">
      <c r="A44" s="8">
        <v>12</v>
      </c>
      <c r="B44" s="25">
        <v>0.251</v>
      </c>
      <c r="C44" s="25">
        <f>B44-0.059</f>
        <v>0.192</v>
      </c>
      <c r="D44" s="8">
        <f t="shared" si="2"/>
        <v>267.2</v>
      </c>
      <c r="E44" s="30">
        <f t="shared" ref="E44" si="44">AVERAGE(D44:D45)</f>
        <v>269.2</v>
      </c>
      <c r="F44" s="46">
        <f t="shared" ref="F44" si="45">(_xlfn.STDEV.S(D44:D45)/(SQRT(2)))/E44</f>
        <v>7.4294205052005948E-3</v>
      </c>
      <c r="G44" s="30"/>
      <c r="H44" s="46"/>
      <c r="I44" s="25">
        <v>0.33900000000000002</v>
      </c>
      <c r="J44" s="25">
        <f>I44-0.161</f>
        <v>0.17800000000000002</v>
      </c>
      <c r="K44" s="8">
        <f t="shared" si="1"/>
        <v>295.19999999999993</v>
      </c>
      <c r="L44" s="30">
        <f t="shared" ref="L44" si="46">AVERAGE(K44:K45)</f>
        <v>301.19999999999993</v>
      </c>
      <c r="M44" s="46">
        <f t="shared" ref="M44" si="47">(_xlfn.STDEV.S(K44:K45)/(SQRT(2)))/L44</f>
        <v>1.9920318725099698E-2</v>
      </c>
      <c r="N44" s="30"/>
      <c r="O44" s="46"/>
      <c r="P44" s="8"/>
    </row>
    <row r="45" spans="1:16" x14ac:dyDescent="0.35">
      <c r="A45" s="8">
        <v>12</v>
      </c>
      <c r="B45" s="25">
        <v>0.25</v>
      </c>
      <c r="C45" s="25">
        <f>B45-0.06</f>
        <v>0.19</v>
      </c>
      <c r="D45" s="8">
        <f t="shared" si="2"/>
        <v>271.2</v>
      </c>
      <c r="E45" s="30"/>
      <c r="F45" s="46"/>
      <c r="G45" s="30"/>
      <c r="H45" s="46"/>
      <c r="I45" s="25">
        <v>0.33800000000000002</v>
      </c>
      <c r="J45" s="25">
        <f>I45-0.166</f>
        <v>0.17200000000000001</v>
      </c>
      <c r="K45" s="8">
        <f t="shared" si="1"/>
        <v>307.2</v>
      </c>
      <c r="L45" s="30"/>
      <c r="M45" s="46"/>
      <c r="N45" s="30"/>
      <c r="O45" s="46"/>
      <c r="P45" s="8"/>
    </row>
    <row r="46" spans="1:16" x14ac:dyDescent="0.35">
      <c r="A46" s="8">
        <v>13</v>
      </c>
      <c r="B46" s="25">
        <v>0.123</v>
      </c>
      <c r="C46" s="25">
        <f>B46-0.045</f>
        <v>7.8E-2</v>
      </c>
      <c r="D46" s="8">
        <f t="shared" si="2"/>
        <v>495.2</v>
      </c>
      <c r="E46" s="30">
        <f t="shared" ref="E46" si="48">AVERAGE(D46:D47)</f>
        <v>499.2</v>
      </c>
      <c r="F46" s="46">
        <f t="shared" ref="F46" si="49">(_xlfn.STDEV.S(D46:D47)/(SQRT(2)))/E46</f>
        <v>8.0128205128205138E-3</v>
      </c>
      <c r="G46" s="30"/>
      <c r="H46" s="46"/>
      <c r="I46" s="25">
        <v>0.251</v>
      </c>
      <c r="J46" s="25">
        <f>I46-0.1</f>
        <v>0.151</v>
      </c>
      <c r="K46" s="8">
        <f t="shared" si="1"/>
        <v>349.2</v>
      </c>
      <c r="L46" s="30">
        <f t="shared" ref="L46" si="50">AVERAGE(K46:K47)</f>
        <v>365.2</v>
      </c>
      <c r="M46" s="46">
        <f t="shared" ref="M46" si="51">(_xlfn.STDEV.S(K46:K47)/(SQRT(2)))/L46</f>
        <v>4.3811610076670317E-2</v>
      </c>
      <c r="N46" s="30"/>
      <c r="O46" s="46"/>
      <c r="P46" s="8"/>
    </row>
    <row r="47" spans="1:16" x14ac:dyDescent="0.35">
      <c r="A47" s="8">
        <v>13</v>
      </c>
      <c r="B47" s="25">
        <v>0.125</v>
      </c>
      <c r="C47" s="25">
        <f>B47-0.051</f>
        <v>7.400000000000001E-2</v>
      </c>
      <c r="D47" s="8">
        <f t="shared" si="2"/>
        <v>503.2</v>
      </c>
      <c r="E47" s="30"/>
      <c r="F47" s="46"/>
      <c r="G47" s="30"/>
      <c r="H47" s="46"/>
      <c r="I47" s="25">
        <v>0.23899999999999999</v>
      </c>
      <c r="J47" s="25">
        <f>I47-0.104</f>
        <v>0.13500000000000001</v>
      </c>
      <c r="K47" s="8">
        <f t="shared" si="1"/>
        <v>381.2</v>
      </c>
      <c r="L47" s="30"/>
      <c r="M47" s="46"/>
      <c r="N47" s="30"/>
      <c r="O47" s="46"/>
      <c r="P47" s="8"/>
    </row>
    <row r="48" spans="1:16" x14ac:dyDescent="0.35">
      <c r="A48" s="8">
        <v>14</v>
      </c>
      <c r="B48" s="25">
        <v>0.16400000000000001</v>
      </c>
      <c r="C48" s="25">
        <f>B48-0.066</f>
        <v>9.8000000000000004E-2</v>
      </c>
      <c r="D48" s="8">
        <f t="shared" si="2"/>
        <v>455.2</v>
      </c>
      <c r="E48" s="30">
        <f>AVERAGE(D48:D49)</f>
        <v>473.19999999999993</v>
      </c>
      <c r="F48" s="46">
        <f>(_xlfn.STDEV.S(D48:D49)/(SQRT(2)))/E48</f>
        <v>3.8038884192730292E-2</v>
      </c>
      <c r="G48" s="30"/>
      <c r="H48" s="46"/>
      <c r="I48" s="25">
        <v>0.24099999999999999</v>
      </c>
      <c r="J48" s="25">
        <f>I48-0.087</f>
        <v>0.154</v>
      </c>
      <c r="K48" s="8">
        <f t="shared" si="1"/>
        <v>343.2</v>
      </c>
      <c r="L48" s="30">
        <f>AVERAGE(K48:K49)</f>
        <v>372.2</v>
      </c>
      <c r="M48" s="46">
        <f>(_xlfn.STDEV.S(K48:K49)/(SQRT(2)))/L48</f>
        <v>7.7915099408919927E-2</v>
      </c>
      <c r="N48" s="30"/>
      <c r="O48" s="46"/>
      <c r="P48" s="8"/>
    </row>
    <row r="49" spans="1:16" x14ac:dyDescent="0.35">
      <c r="A49" s="8">
        <v>14</v>
      </c>
      <c r="B49" s="25">
        <v>0.16500000000000001</v>
      </c>
      <c r="C49" s="25">
        <f>B49-0.085</f>
        <v>0.08</v>
      </c>
      <c r="D49" s="8">
        <f t="shared" si="2"/>
        <v>491.19999999999993</v>
      </c>
      <c r="E49" s="30"/>
      <c r="F49" s="46"/>
      <c r="G49" s="30"/>
      <c r="H49" s="46"/>
      <c r="I49" s="25">
        <v>0.22900000000000001</v>
      </c>
      <c r="J49" s="25">
        <f>I49-0.104</f>
        <v>0.125</v>
      </c>
      <c r="K49" s="8">
        <f t="shared" si="1"/>
        <v>401.2</v>
      </c>
      <c r="L49" s="30"/>
      <c r="M49" s="46"/>
      <c r="N49" s="30"/>
      <c r="O49" s="46"/>
      <c r="P49" s="8"/>
    </row>
    <row r="50" spans="1:16" x14ac:dyDescent="0.35">
      <c r="A50" s="8">
        <v>15</v>
      </c>
      <c r="B50" s="25">
        <v>0.23</v>
      </c>
      <c r="C50" s="25">
        <f>B50-0.086</f>
        <v>0.14400000000000002</v>
      </c>
      <c r="D50" s="8">
        <f t="shared" si="2"/>
        <v>363.19999999999993</v>
      </c>
      <c r="E50" s="30">
        <f t="shared" ref="E50" si="52">AVERAGE(D50:D51)</f>
        <v>378.19999999999993</v>
      </c>
      <c r="F50" s="46">
        <f t="shared" ref="F50" si="53">(_xlfn.STDEV.S(D50:D51)/(SQRT(2)))/E50</f>
        <v>3.9661554732945609E-2</v>
      </c>
      <c r="G50" s="30"/>
      <c r="H50" s="46"/>
      <c r="I50" s="25">
        <v>0.41799999999999998</v>
      </c>
      <c r="J50" s="25">
        <f>I50-0.251</f>
        <v>0.16699999999999998</v>
      </c>
      <c r="K50" s="8">
        <f t="shared" si="1"/>
        <v>317.20000000000005</v>
      </c>
      <c r="L50" s="30">
        <f t="shared" ref="L50" si="54">AVERAGE(K50:K51)</f>
        <v>340.2</v>
      </c>
      <c r="M50" s="46">
        <f t="shared" ref="M50" si="55">(_xlfn.STDEV.S(K50:K51)/(SQRT(2)))/L50</f>
        <v>6.7607289829511891E-2</v>
      </c>
      <c r="N50" s="30"/>
      <c r="O50" s="46"/>
      <c r="P50" s="8"/>
    </row>
    <row r="51" spans="1:16" x14ac:dyDescent="0.35">
      <c r="A51" s="8">
        <v>15</v>
      </c>
      <c r="B51" s="25">
        <v>0.23899999999999999</v>
      </c>
      <c r="C51" s="25">
        <f>B51-0.11</f>
        <v>0.129</v>
      </c>
      <c r="D51" s="8">
        <f t="shared" si="2"/>
        <v>393.2</v>
      </c>
      <c r="E51" s="30"/>
      <c r="F51" s="46"/>
      <c r="G51" s="30"/>
      <c r="H51" s="46"/>
      <c r="I51" s="25">
        <v>0.432</v>
      </c>
      <c r="J51" s="25">
        <f>I51-0.288</f>
        <v>0.14400000000000002</v>
      </c>
      <c r="K51" s="8">
        <f t="shared" si="1"/>
        <v>363.19999999999993</v>
      </c>
      <c r="L51" s="30"/>
      <c r="M51" s="46"/>
      <c r="N51" s="30"/>
      <c r="O51" s="46"/>
      <c r="P51" s="8"/>
    </row>
    <row r="52" spans="1:16" x14ac:dyDescent="0.35">
      <c r="A52" s="8">
        <v>16</v>
      </c>
      <c r="B52" s="25">
        <v>0.126</v>
      </c>
      <c r="C52" s="25">
        <f>B52-0.045</f>
        <v>8.1000000000000003E-2</v>
      </c>
      <c r="D52" s="8">
        <f t="shared" si="2"/>
        <v>489.19999999999993</v>
      </c>
      <c r="E52" s="30">
        <f t="shared" ref="E52" si="56">AVERAGE(D52:D53)</f>
        <v>490.19999999999993</v>
      </c>
      <c r="F52" s="46">
        <f t="shared" ref="F52" si="57">(_xlfn.STDEV.S(D52:D53)/(SQRT(2)))/E52</f>
        <v>2.0399836801305591E-3</v>
      </c>
      <c r="G52" s="30">
        <f t="shared" ref="G52" si="58">AVERAGE(E52:E61)</f>
        <v>422.6</v>
      </c>
      <c r="H52" s="46">
        <f t="shared" ref="H52" si="59">(_xlfn.STDEV.S(E52:E61)/SQRT(5))/G52</f>
        <v>5.7412012446505102E-2</v>
      </c>
      <c r="I52" s="25">
        <v>0.20200000000000001</v>
      </c>
      <c r="J52" s="25">
        <f>I52-0.078</f>
        <v>0.12400000000000001</v>
      </c>
      <c r="K52" s="8">
        <f t="shared" si="1"/>
        <v>403.2</v>
      </c>
      <c r="L52" s="30">
        <f t="shared" ref="L52" si="60">AVERAGE(K52:K53)</f>
        <v>420.20000000000005</v>
      </c>
      <c r="M52" s="46">
        <f t="shared" ref="M52" si="61">(_xlfn.STDEV.S(K52:K53)/(SQRT(2)))/L52</f>
        <v>4.0456925273679264E-2</v>
      </c>
      <c r="N52" s="30">
        <f t="shared" ref="N52" si="62">AVERAGE(L52:L61)</f>
        <v>391.6</v>
      </c>
      <c r="O52" s="46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5">
        <v>0.125</v>
      </c>
      <c r="C53" s="25">
        <f>B53-0.045</f>
        <v>0.08</v>
      </c>
      <c r="D53" s="8">
        <f t="shared" si="2"/>
        <v>491.19999999999993</v>
      </c>
      <c r="E53" s="30"/>
      <c r="F53" s="46"/>
      <c r="G53" s="30"/>
      <c r="H53" s="46"/>
      <c r="I53" s="25">
        <v>0.184</v>
      </c>
      <c r="J53" s="25">
        <f>I53-0.077</f>
        <v>0.107</v>
      </c>
      <c r="K53" s="8">
        <f t="shared" si="1"/>
        <v>437.20000000000005</v>
      </c>
      <c r="L53" s="30"/>
      <c r="M53" s="46"/>
      <c r="N53" s="30"/>
      <c r="O53" s="46"/>
      <c r="P53" s="8"/>
    </row>
    <row r="54" spans="1:16" x14ac:dyDescent="0.35">
      <c r="A54" s="8">
        <v>17</v>
      </c>
      <c r="B54" s="25">
        <v>0.17799999999999999</v>
      </c>
      <c r="C54" s="25">
        <f>B54-0.075</f>
        <v>0.10299999999999999</v>
      </c>
      <c r="D54" s="8">
        <f t="shared" si="2"/>
        <v>445.20000000000005</v>
      </c>
      <c r="E54" s="30">
        <f t="shared" ref="E54" si="64">AVERAGE(D54:D55)</f>
        <v>442.20000000000005</v>
      </c>
      <c r="F54" s="46">
        <f t="shared" ref="F54" si="65">(_xlfn.STDEV.S(D54:D55)/(SQRT(2)))/E54</f>
        <v>6.7842605156038628E-3</v>
      </c>
      <c r="G54" s="30"/>
      <c r="H54" s="46"/>
      <c r="I54" s="25">
        <v>0.23499999999999999</v>
      </c>
      <c r="J54" s="25">
        <f>I54-0.109</f>
        <v>0.126</v>
      </c>
      <c r="K54" s="8">
        <f t="shared" si="1"/>
        <v>399.2</v>
      </c>
      <c r="L54" s="30">
        <f t="shared" ref="L54" si="66">AVERAGE(K54:K55)</f>
        <v>397.2</v>
      </c>
      <c r="M54" s="46">
        <f t="shared" ref="M54" si="67">(_xlfn.STDEV.S(K54:K55)/(SQRT(2)))/L54</f>
        <v>5.0352467270896274E-3</v>
      </c>
      <c r="N54" s="30"/>
      <c r="O54" s="46"/>
      <c r="P54" s="8"/>
    </row>
    <row r="55" spans="1:16" x14ac:dyDescent="0.35">
      <c r="A55" s="8">
        <v>17</v>
      </c>
      <c r="B55" s="25">
        <v>0.22800000000000001</v>
      </c>
      <c r="C55" s="25">
        <f>B55-0.122</f>
        <v>0.10600000000000001</v>
      </c>
      <c r="D55" s="8">
        <f t="shared" si="2"/>
        <v>439.2</v>
      </c>
      <c r="E55" s="30"/>
      <c r="F55" s="46"/>
      <c r="G55" s="30"/>
      <c r="H55" s="46"/>
      <c r="I55" s="25">
        <v>0.23799999999999999</v>
      </c>
      <c r="J55" s="25">
        <f>I55-0.11</f>
        <v>0.128</v>
      </c>
      <c r="K55" s="8">
        <f t="shared" si="1"/>
        <v>395.2</v>
      </c>
      <c r="L55" s="30"/>
      <c r="M55" s="46"/>
      <c r="N55" s="30"/>
      <c r="O55" s="46"/>
      <c r="P55" s="8"/>
    </row>
    <row r="56" spans="1:16" x14ac:dyDescent="0.35">
      <c r="A56" s="8">
        <v>18</v>
      </c>
      <c r="B56" s="25">
        <v>0.153</v>
      </c>
      <c r="C56" s="25">
        <f>B56-0.05</f>
        <v>0.10299999999999999</v>
      </c>
      <c r="D56" s="8">
        <f t="shared" si="2"/>
        <v>445.20000000000005</v>
      </c>
      <c r="E56" s="30">
        <f>AVERAGE(D56:D57)</f>
        <v>417.20000000000005</v>
      </c>
      <c r="F56" s="46">
        <f>(_xlfn.STDEV.S(D56:D57)/(SQRT(2)))/E56</f>
        <v>6.7114093959731599E-2</v>
      </c>
      <c r="G56" s="30"/>
      <c r="H56" s="46"/>
      <c r="I56" s="25">
        <v>0.20300000000000001</v>
      </c>
      <c r="J56" s="25">
        <f>I56-0.06</f>
        <v>0.14300000000000002</v>
      </c>
      <c r="K56" s="8">
        <f t="shared" si="1"/>
        <v>365.2</v>
      </c>
      <c r="L56" s="30">
        <f>AVERAGE(K56:K57)</f>
        <v>366.20000000000005</v>
      </c>
      <c r="M56" s="46">
        <f>(_xlfn.STDEV.S(K56:K57)/(SQRT(2)))/L56</f>
        <v>2.730748225013731E-3</v>
      </c>
      <c r="N56" s="30"/>
      <c r="O56" s="46"/>
      <c r="P56" s="8"/>
    </row>
    <row r="57" spans="1:16" x14ac:dyDescent="0.35">
      <c r="A57" s="8">
        <v>18</v>
      </c>
      <c r="B57" s="25">
        <v>0.19700000000000001</v>
      </c>
      <c r="C57" s="25">
        <f>B57-0.066</f>
        <v>0.13100000000000001</v>
      </c>
      <c r="D57" s="8">
        <f t="shared" si="2"/>
        <v>389.2</v>
      </c>
      <c r="E57" s="30"/>
      <c r="F57" s="46"/>
      <c r="G57" s="30"/>
      <c r="H57" s="46"/>
      <c r="I57" s="25">
        <v>0.20699999999999999</v>
      </c>
      <c r="J57" s="25">
        <f>I57-0.065</f>
        <v>0.14199999999999999</v>
      </c>
      <c r="K57" s="8">
        <f t="shared" si="1"/>
        <v>367.20000000000005</v>
      </c>
      <c r="L57" s="30"/>
      <c r="M57" s="46"/>
      <c r="N57" s="30"/>
      <c r="O57" s="46"/>
      <c r="P57" s="8"/>
    </row>
    <row r="58" spans="1:16" x14ac:dyDescent="0.35">
      <c r="A58" s="8">
        <v>19</v>
      </c>
      <c r="B58" s="25">
        <v>0.14699999999999999</v>
      </c>
      <c r="C58" s="25">
        <f>B58-0.056</f>
        <v>9.0999999999999998E-2</v>
      </c>
      <c r="D58" s="8">
        <f t="shared" si="2"/>
        <v>469.2</v>
      </c>
      <c r="E58" s="30">
        <f t="shared" ref="E58" si="68">AVERAGE(D58:D59)</f>
        <v>423.2</v>
      </c>
      <c r="F58" s="46">
        <f t="shared" ref="F58" si="69">(_xlfn.STDEV.S(D58:D59)/(SQRT(2)))/E58</f>
        <v>0.10869565217391304</v>
      </c>
      <c r="G58" s="30"/>
      <c r="H58" s="46"/>
      <c r="I58" s="25">
        <v>0.25800000000000001</v>
      </c>
      <c r="J58" s="25">
        <f>I58-0.116</f>
        <v>0.14200000000000002</v>
      </c>
      <c r="K58" s="8">
        <f t="shared" si="1"/>
        <v>367.2</v>
      </c>
      <c r="L58" s="30">
        <f t="shared" ref="L58" si="70">AVERAGE(K58:K59)</f>
        <v>365.19999999999993</v>
      </c>
      <c r="M58" s="46">
        <f t="shared" ref="M58" si="71">(_xlfn.STDEV.S(K58:K59)/(SQRT(2)))/L58</f>
        <v>5.4764512595838685E-3</v>
      </c>
      <c r="N58" s="30"/>
      <c r="O58" s="46"/>
      <c r="P58" s="8"/>
    </row>
    <row r="59" spans="1:16" x14ac:dyDescent="0.35">
      <c r="A59" s="8">
        <v>19</v>
      </c>
      <c r="B59" s="25">
        <v>0.25600000000000001</v>
      </c>
      <c r="C59" s="25">
        <f>B59-0.119</f>
        <v>0.13700000000000001</v>
      </c>
      <c r="D59" s="8">
        <f t="shared" si="2"/>
        <v>377.2</v>
      </c>
      <c r="E59" s="30"/>
      <c r="F59" s="46"/>
      <c r="G59" s="30"/>
      <c r="H59" s="46"/>
      <c r="I59" s="25">
        <v>0.26500000000000001</v>
      </c>
      <c r="J59" s="25">
        <f>I59-0.121</f>
        <v>0.14400000000000002</v>
      </c>
      <c r="K59" s="8">
        <f t="shared" si="1"/>
        <v>363.19999999999993</v>
      </c>
      <c r="L59" s="30"/>
      <c r="M59" s="46"/>
      <c r="N59" s="30"/>
      <c r="O59" s="46"/>
      <c r="P59" s="8"/>
    </row>
    <row r="60" spans="1:16" x14ac:dyDescent="0.35">
      <c r="A60" s="8">
        <v>20</v>
      </c>
      <c r="B60" s="25">
        <v>0.25700000000000001</v>
      </c>
      <c r="C60" s="25">
        <f>B60-0.07</f>
        <v>0.187</v>
      </c>
      <c r="D60" s="8">
        <f t="shared" si="2"/>
        <v>277.2</v>
      </c>
      <c r="E60" s="30">
        <f t="shared" ref="E60" si="72">AVERAGE(D60:D61)</f>
        <v>340.2</v>
      </c>
      <c r="F60" s="47">
        <f t="shared" ref="F60" si="73">(_xlfn.STDEV.S(D60:D61)/(SQRT(2)))/E60</f>
        <v>0.18518518518518517</v>
      </c>
      <c r="G60" s="30"/>
      <c r="H60" s="46"/>
      <c r="I60" s="25">
        <v>0.24399999999999999</v>
      </c>
      <c r="J60" s="25">
        <f>I60-0.126</f>
        <v>0.11799999999999999</v>
      </c>
      <c r="K60" s="8">
        <f t="shared" si="1"/>
        <v>415.2</v>
      </c>
      <c r="L60" s="30">
        <f t="shared" ref="L60" si="74">AVERAGE(K60:K61)</f>
        <v>409.2</v>
      </c>
      <c r="M60" s="48">
        <f t="shared" ref="M60" si="75">(_xlfn.STDEV.S(K60:K61)/(SQRT(2)))/L60</f>
        <v>1.4662756598240467E-2</v>
      </c>
      <c r="N60" s="30"/>
      <c r="O60" s="46"/>
      <c r="P60" s="8"/>
    </row>
    <row r="61" spans="1:16" x14ac:dyDescent="0.35">
      <c r="A61" s="8">
        <v>20</v>
      </c>
      <c r="B61" s="25">
        <v>0.251</v>
      </c>
      <c r="C61" s="25">
        <f>B61-0.127</f>
        <v>0.124</v>
      </c>
      <c r="D61" s="8">
        <f t="shared" si="2"/>
        <v>403.2</v>
      </c>
      <c r="E61" s="30"/>
      <c r="F61" s="47"/>
      <c r="G61" s="30"/>
      <c r="H61" s="46"/>
      <c r="I61" s="25">
        <v>0.249</v>
      </c>
      <c r="J61" s="25">
        <f>I61-0.125</f>
        <v>0.124</v>
      </c>
      <c r="K61" s="8">
        <f t="shared" si="1"/>
        <v>403.2</v>
      </c>
      <c r="L61" s="30"/>
      <c r="M61" s="48"/>
      <c r="N61" s="30"/>
      <c r="O61" s="46"/>
      <c r="P61" s="8"/>
    </row>
  </sheetData>
  <mergeCells count="96"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  <mergeCell ref="L48:L49"/>
    <mergeCell ref="M48:M49"/>
    <mergeCell ref="L50:L51"/>
    <mergeCell ref="M50:M51"/>
    <mergeCell ref="L52:L53"/>
    <mergeCell ref="M52:M53"/>
    <mergeCell ref="L42:L43"/>
    <mergeCell ref="M42:M43"/>
    <mergeCell ref="L44:L45"/>
    <mergeCell ref="M44:M45"/>
    <mergeCell ref="L46:L47"/>
    <mergeCell ref="M46:M47"/>
    <mergeCell ref="L36:L37"/>
    <mergeCell ref="M36:M37"/>
    <mergeCell ref="L38:L39"/>
    <mergeCell ref="M38:M39"/>
    <mergeCell ref="L40:L41"/>
    <mergeCell ref="M40:M41"/>
    <mergeCell ref="L30:L31"/>
    <mergeCell ref="M30:M31"/>
    <mergeCell ref="L32:L33"/>
    <mergeCell ref="M32:M33"/>
    <mergeCell ref="L34:L35"/>
    <mergeCell ref="M34:M35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E58:E59"/>
    <mergeCell ref="F58:F59"/>
    <mergeCell ref="E60:E61"/>
    <mergeCell ref="F60:F61"/>
    <mergeCell ref="G22:G31"/>
    <mergeCell ref="H22:H31"/>
    <mergeCell ref="G32:G41"/>
    <mergeCell ref="H32:H41"/>
    <mergeCell ref="G42:G51"/>
    <mergeCell ref="H42:H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D265-707A-4C54-80E1-E3BD626E64B6}">
  <dimension ref="A1:AB42"/>
  <sheetViews>
    <sheetView zoomScaleNormal="100" workbookViewId="0">
      <selection activeCell="N3" sqref="N3"/>
    </sheetView>
  </sheetViews>
  <sheetFormatPr baseColWidth="10" defaultRowHeight="14.5" x14ac:dyDescent="0.35"/>
  <cols>
    <col min="2" max="2" width="13.81640625" hidden="1" customWidth="1"/>
    <col min="3" max="3" width="11.54296875" hidden="1" customWidth="1"/>
    <col min="4" max="8" width="0" hidden="1" customWidth="1"/>
    <col min="9" max="9" width="13.90625" hidden="1" customWidth="1"/>
    <col min="10" max="10" width="15.6328125" hidden="1" customWidth="1"/>
    <col min="11" max="11" width="14.81640625" hidden="1" customWidth="1"/>
    <col min="12" max="12" width="0" hidden="1" customWidth="1"/>
    <col min="13" max="13" width="13.81640625" bestFit="1" customWidth="1"/>
    <col min="20" max="20" width="13.90625" bestFit="1" customWidth="1"/>
    <col min="21" max="21" width="15.6328125" bestFit="1" customWidth="1"/>
    <col min="22" max="22" width="14.81640625" bestFit="1" customWidth="1"/>
  </cols>
  <sheetData>
    <row r="1" spans="1:27" x14ac:dyDescent="0.35">
      <c r="B1" s="36" t="s">
        <v>90</v>
      </c>
      <c r="C1" s="36"/>
      <c r="D1" s="36"/>
      <c r="E1" s="36"/>
      <c r="F1" s="36"/>
      <c r="G1" s="36"/>
      <c r="H1" s="36"/>
      <c r="I1" s="36"/>
      <c r="J1" s="36"/>
      <c r="K1" s="11"/>
      <c r="L1" s="11"/>
      <c r="M1" s="37" t="s">
        <v>91</v>
      </c>
      <c r="N1" s="37"/>
      <c r="O1" s="37"/>
      <c r="P1" s="37"/>
      <c r="Q1" s="37"/>
      <c r="R1" s="37"/>
      <c r="S1" s="37"/>
      <c r="T1" s="37"/>
      <c r="U1" s="37"/>
      <c r="V1" s="12"/>
      <c r="W1" s="12"/>
    </row>
    <row r="2" spans="1:27" x14ac:dyDescent="0.35">
      <c r="A2" s="13" t="s">
        <v>0</v>
      </c>
      <c r="B2" s="15" t="s">
        <v>108</v>
      </c>
      <c r="C2" s="6" t="s">
        <v>92</v>
      </c>
      <c r="D2" s="27" t="s">
        <v>120</v>
      </c>
      <c r="E2" s="6" t="s">
        <v>93</v>
      </c>
      <c r="F2" s="6" t="s">
        <v>94</v>
      </c>
      <c r="G2" s="6" t="s">
        <v>95</v>
      </c>
      <c r="H2" s="6" t="s">
        <v>96</v>
      </c>
      <c r="I2" s="6" t="s">
        <v>109</v>
      </c>
      <c r="J2" s="14" t="s">
        <v>121</v>
      </c>
      <c r="K2" s="14" t="s">
        <v>97</v>
      </c>
      <c r="L2" s="14" t="s">
        <v>98</v>
      </c>
      <c r="M2" s="6" t="s">
        <v>108</v>
      </c>
      <c r="N2" s="6" t="s">
        <v>92</v>
      </c>
      <c r="O2" s="27" t="s">
        <v>120</v>
      </c>
      <c r="P2" s="6" t="s">
        <v>93</v>
      </c>
      <c r="Q2" s="6" t="s">
        <v>94</v>
      </c>
      <c r="R2" s="6" t="s">
        <v>95</v>
      </c>
      <c r="S2" s="6" t="s">
        <v>96</v>
      </c>
      <c r="T2" s="6" t="s">
        <v>109</v>
      </c>
      <c r="U2" s="14" t="s">
        <v>121</v>
      </c>
      <c r="V2" s="14" t="s">
        <v>97</v>
      </c>
      <c r="W2" s="14" t="s">
        <v>98</v>
      </c>
    </row>
    <row r="3" spans="1:27" x14ac:dyDescent="0.35">
      <c r="A3" s="8">
        <v>1</v>
      </c>
    </row>
    <row r="4" spans="1:27" x14ac:dyDescent="0.35">
      <c r="A4" s="8">
        <v>1</v>
      </c>
    </row>
    <row r="5" spans="1:27" x14ac:dyDescent="0.35">
      <c r="A5" s="8">
        <v>2</v>
      </c>
    </row>
    <row r="6" spans="1:27" x14ac:dyDescent="0.35">
      <c r="A6" s="8">
        <v>2</v>
      </c>
    </row>
    <row r="7" spans="1:27" x14ac:dyDescent="0.35">
      <c r="A7" s="8">
        <v>3</v>
      </c>
    </row>
    <row r="8" spans="1:27" x14ac:dyDescent="0.35">
      <c r="A8" s="8">
        <v>3</v>
      </c>
      <c r="Z8" s="24" t="s">
        <v>114</v>
      </c>
      <c r="AA8">
        <v>1</v>
      </c>
    </row>
    <row r="9" spans="1:27" x14ac:dyDescent="0.35">
      <c r="A9" s="8">
        <v>4</v>
      </c>
      <c r="Z9" s="24" t="s">
        <v>115</v>
      </c>
      <c r="AA9">
        <v>0.20499999999999999</v>
      </c>
    </row>
    <row r="10" spans="1:27" x14ac:dyDescent="0.35">
      <c r="A10" s="8">
        <v>4</v>
      </c>
      <c r="Z10" s="24" t="s">
        <v>116</v>
      </c>
      <c r="AA10">
        <v>21000</v>
      </c>
    </row>
    <row r="11" spans="1:27" x14ac:dyDescent="0.35">
      <c r="A11" s="8">
        <v>5</v>
      </c>
      <c r="Z11" s="24" t="s">
        <v>117</v>
      </c>
      <c r="AA11">
        <v>0.01</v>
      </c>
    </row>
    <row r="12" spans="1:27" x14ac:dyDescent="0.35">
      <c r="A12" s="8">
        <v>5</v>
      </c>
    </row>
    <row r="13" spans="1:27" x14ac:dyDescent="0.35">
      <c r="A13" s="8">
        <v>6</v>
      </c>
      <c r="AA13">
        <v>-10.986000000000001</v>
      </c>
    </row>
    <row r="14" spans="1:27" x14ac:dyDescent="0.35">
      <c r="A14" s="8">
        <v>6</v>
      </c>
      <c r="AA14">
        <v>-11.432</v>
      </c>
    </row>
    <row r="15" spans="1:27" x14ac:dyDescent="0.35">
      <c r="A15" s="8">
        <v>7</v>
      </c>
      <c r="AA15">
        <v>-11.031000000000001</v>
      </c>
    </row>
    <row r="16" spans="1:27" x14ac:dyDescent="0.35">
      <c r="A16" s="8">
        <v>7</v>
      </c>
      <c r="AA16">
        <v>-11.473000000000001</v>
      </c>
    </row>
    <row r="17" spans="1:28" x14ac:dyDescent="0.35">
      <c r="A17" s="8">
        <v>8</v>
      </c>
      <c r="Z17" s="24" t="s">
        <v>122</v>
      </c>
      <c r="AA17" s="28">
        <f>AVERAGE(AA13:AA16)</f>
        <v>-11.230499999999999</v>
      </c>
      <c r="AB17" t="s">
        <v>123</v>
      </c>
    </row>
    <row r="18" spans="1:28" x14ac:dyDescent="0.35">
      <c r="A18" s="8">
        <v>8</v>
      </c>
    </row>
    <row r="19" spans="1:28" x14ac:dyDescent="0.35">
      <c r="A19" s="8">
        <v>9</v>
      </c>
    </row>
    <row r="20" spans="1:28" x14ac:dyDescent="0.35">
      <c r="A20" s="8">
        <v>9</v>
      </c>
    </row>
    <row r="21" spans="1:28" x14ac:dyDescent="0.35">
      <c r="A21" s="8">
        <v>10</v>
      </c>
    </row>
    <row r="22" spans="1:28" x14ac:dyDescent="0.35">
      <c r="A22" s="8">
        <v>10</v>
      </c>
    </row>
    <row r="23" spans="1:28" x14ac:dyDescent="0.35">
      <c r="A23" s="8">
        <v>11</v>
      </c>
    </row>
    <row r="24" spans="1:28" x14ac:dyDescent="0.35">
      <c r="A24" s="8">
        <v>11</v>
      </c>
    </row>
    <row r="25" spans="1:28" x14ac:dyDescent="0.35">
      <c r="A25" s="8">
        <v>12</v>
      </c>
    </row>
    <row r="26" spans="1:28" x14ac:dyDescent="0.35">
      <c r="A26" s="8">
        <v>12</v>
      </c>
    </row>
    <row r="27" spans="1:28" x14ac:dyDescent="0.35">
      <c r="A27" s="8">
        <v>13</v>
      </c>
    </row>
    <row r="28" spans="1:28" x14ac:dyDescent="0.35">
      <c r="A28" s="8">
        <v>13</v>
      </c>
    </row>
    <row r="29" spans="1:28" x14ac:dyDescent="0.35">
      <c r="A29" s="8">
        <v>14</v>
      </c>
    </row>
    <row r="30" spans="1:28" x14ac:dyDescent="0.35">
      <c r="A30" s="8">
        <v>14</v>
      </c>
    </row>
    <row r="31" spans="1:28" x14ac:dyDescent="0.35">
      <c r="A31" s="8">
        <v>15</v>
      </c>
    </row>
    <row r="32" spans="1:28" x14ac:dyDescent="0.35">
      <c r="A32" s="8">
        <v>15</v>
      </c>
    </row>
    <row r="33" spans="1:1" x14ac:dyDescent="0.35">
      <c r="A33" s="8">
        <v>16</v>
      </c>
    </row>
    <row r="34" spans="1:1" x14ac:dyDescent="0.35">
      <c r="A34" s="8">
        <v>16</v>
      </c>
    </row>
    <row r="35" spans="1:1" x14ac:dyDescent="0.35">
      <c r="A35" s="8">
        <v>17</v>
      </c>
    </row>
    <row r="36" spans="1:1" x14ac:dyDescent="0.35">
      <c r="A36" s="8">
        <v>17</v>
      </c>
    </row>
    <row r="37" spans="1:1" x14ac:dyDescent="0.35">
      <c r="A37" s="8">
        <v>18</v>
      </c>
    </row>
    <row r="38" spans="1:1" x14ac:dyDescent="0.35">
      <c r="A38" s="8">
        <v>18</v>
      </c>
    </row>
    <row r="39" spans="1:1" x14ac:dyDescent="0.35">
      <c r="A39" s="8">
        <v>19</v>
      </c>
    </row>
    <row r="40" spans="1:1" x14ac:dyDescent="0.35">
      <c r="A40" s="8">
        <v>19</v>
      </c>
    </row>
    <row r="41" spans="1:1" x14ac:dyDescent="0.35">
      <c r="A41" s="8">
        <v>20</v>
      </c>
    </row>
    <row r="42" spans="1:1" x14ac:dyDescent="0.35">
      <c r="A42" s="8">
        <v>20</v>
      </c>
    </row>
  </sheetData>
  <mergeCells count="2">
    <mergeCell ref="B1:J1"/>
    <mergeCell ref="M1:U1"/>
  </mergeCells>
  <conditionalFormatting sqref="F1:F2 Q1:Q2">
    <cfRule type="iconSet" priority="1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"/>
  <sheetViews>
    <sheetView topLeftCell="A22" workbookViewId="0">
      <selection activeCell="G17" sqref="G17"/>
    </sheetView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1"/>
  <sheetViews>
    <sheetView workbookViewId="0">
      <selection activeCell="G16" sqref="G16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TFG</vt:lpstr>
      <vt:lpstr>Pesos inicial y final</vt:lpstr>
      <vt:lpstr>Cálculos clorofila</vt:lpstr>
      <vt:lpstr>Calculos CAT</vt:lpstr>
      <vt:lpstr>Calculos GST</vt:lpstr>
      <vt:lpstr>Calculos TEAC</vt:lpstr>
      <vt:lpstr>Calculos DTD</vt:lpstr>
      <vt:lpstr>Cálculos Bradford</vt:lpstr>
      <vt:lpstr>Calculos 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2023-06-18T17:47:43Z</dcterms:modified>
</cp:coreProperties>
</file>