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204C0FE9-747C-4B3B-86AB-2E45A0965C34}" xr6:coauthVersionLast="47" xr6:coauthVersionMax="47" xr10:uidLastSave="{00000000-0000-0000-0000-000000000000}"/>
  <bookViews>
    <workbookView xWindow="28680" yWindow="-120" windowWidth="29040" windowHeight="15720" tabRatio="737" xr2:uid="{00000000-000D-0000-FFFF-FFFF00000000}"/>
  </bookViews>
  <sheets>
    <sheet name="1 kW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H11" i="4"/>
  <c r="I11" i="4"/>
  <c r="G12" i="4"/>
  <c r="H12" i="4"/>
  <c r="I12" i="4"/>
  <c r="G13" i="4"/>
  <c r="I13" i="4" s="1"/>
  <c r="H13" i="4"/>
  <c r="G14" i="4"/>
  <c r="H14" i="4"/>
  <c r="I14" i="4"/>
  <c r="G15" i="4"/>
  <c r="H15" i="4"/>
  <c r="I15" i="4"/>
  <c r="G16" i="4"/>
  <c r="I16" i="4" s="1"/>
  <c r="H16" i="4"/>
  <c r="G17" i="4"/>
  <c r="I17" i="4" s="1"/>
  <c r="H17" i="4"/>
  <c r="G18" i="4"/>
  <c r="H18" i="4"/>
  <c r="I18" i="4"/>
  <c r="G19" i="4"/>
  <c r="H19" i="4"/>
  <c r="I19" i="4"/>
  <c r="G20" i="4"/>
  <c r="H20" i="4"/>
  <c r="I20" i="4"/>
  <c r="G21" i="4"/>
  <c r="I21" i="4" s="1"/>
  <c r="H21" i="4"/>
  <c r="G22" i="4"/>
  <c r="H22" i="4"/>
  <c r="I22" i="4"/>
  <c r="G23" i="4"/>
  <c r="H23" i="4"/>
  <c r="I23" i="4"/>
  <c r="G24" i="4"/>
  <c r="I24" i="4" s="1"/>
  <c r="H24" i="4"/>
  <c r="G25" i="4"/>
  <c r="I25" i="4" s="1"/>
  <c r="H25" i="4"/>
  <c r="G26" i="4"/>
  <c r="H26" i="4"/>
  <c r="I26" i="4"/>
  <c r="G27" i="4"/>
  <c r="H27" i="4"/>
  <c r="I27" i="4"/>
  <c r="G28" i="4"/>
  <c r="H28" i="4"/>
  <c r="I28" i="4"/>
  <c r="G29" i="4"/>
  <c r="I29" i="4" s="1"/>
  <c r="H29" i="4"/>
  <c r="G30" i="4"/>
  <c r="I30" i="4" s="1"/>
  <c r="H30" i="4"/>
  <c r="G31" i="4"/>
  <c r="H31" i="4"/>
  <c r="I31" i="4"/>
  <c r="G32" i="4"/>
  <c r="I32" i="4" s="1"/>
  <c r="H32" i="4"/>
  <c r="G33" i="4"/>
  <c r="I33" i="4" s="1"/>
  <c r="H33" i="4"/>
  <c r="G34" i="4"/>
  <c r="H34" i="4"/>
  <c r="I34" i="4"/>
  <c r="G35" i="4"/>
  <c r="H35" i="4"/>
  <c r="I35" i="4"/>
  <c r="G36" i="4"/>
  <c r="H36" i="4"/>
  <c r="I36" i="4"/>
  <c r="G37" i="4"/>
  <c r="I37" i="4" s="1"/>
  <c r="H37" i="4"/>
  <c r="G38" i="4"/>
  <c r="I38" i="4" s="1"/>
  <c r="H38" i="4"/>
  <c r="G39" i="4"/>
  <c r="H39" i="4"/>
  <c r="I39" i="4"/>
  <c r="G40" i="4"/>
  <c r="I40" i="4" s="1"/>
  <c r="H40" i="4"/>
  <c r="G41" i="4"/>
  <c r="I41" i="4" s="1"/>
  <c r="H41" i="4"/>
  <c r="G42" i="4"/>
  <c r="H42" i="4"/>
  <c r="I42" i="4"/>
  <c r="G43" i="4"/>
  <c r="H43" i="4"/>
  <c r="I43" i="4"/>
  <c r="G44" i="4"/>
  <c r="H44" i="4"/>
  <c r="I44" i="4"/>
  <c r="G45" i="4"/>
  <c r="I45" i="4" s="1"/>
  <c r="H45" i="4"/>
  <c r="G46" i="4"/>
  <c r="I46" i="4" s="1"/>
  <c r="H46" i="4"/>
  <c r="G47" i="4"/>
  <c r="H47" i="4"/>
  <c r="I47" i="4"/>
  <c r="G48" i="4"/>
  <c r="I48" i="4" s="1"/>
  <c r="H48" i="4"/>
  <c r="G49" i="4"/>
  <c r="I49" i="4" s="1"/>
  <c r="H49" i="4"/>
  <c r="G50" i="4"/>
  <c r="H50" i="4"/>
  <c r="I50" i="4"/>
  <c r="G51" i="4"/>
  <c r="H51" i="4"/>
  <c r="I51" i="4"/>
  <c r="G52" i="4"/>
  <c r="H52" i="4"/>
  <c r="I52" i="4"/>
  <c r="G53" i="4"/>
  <c r="I53" i="4" s="1"/>
  <c r="H53" i="4"/>
  <c r="G54" i="4"/>
  <c r="I54" i="4" s="1"/>
  <c r="H54" i="4"/>
  <c r="G55" i="4"/>
  <c r="H55" i="4"/>
  <c r="I55" i="4"/>
  <c r="G56" i="4"/>
  <c r="I56" i="4" s="1"/>
  <c r="H56" i="4"/>
  <c r="G57" i="4"/>
  <c r="I57" i="4" s="1"/>
  <c r="H57" i="4"/>
  <c r="G58" i="4"/>
  <c r="H58" i="4"/>
  <c r="I58" i="4"/>
  <c r="G59" i="4"/>
  <c r="H59" i="4"/>
  <c r="I59" i="4"/>
  <c r="G60" i="4"/>
  <c r="H60" i="4"/>
  <c r="I60" i="4"/>
  <c r="G61" i="4"/>
  <c r="I61" i="4" s="1"/>
  <c r="H61" i="4"/>
  <c r="G62" i="4"/>
  <c r="H62" i="4"/>
  <c r="I62" i="4"/>
  <c r="G63" i="4"/>
  <c r="H63" i="4"/>
  <c r="I63" i="4"/>
  <c r="G64" i="4"/>
  <c r="I64" i="4" s="1"/>
  <c r="H64" i="4"/>
  <c r="G65" i="4"/>
  <c r="I65" i="4" s="1"/>
  <c r="H65" i="4"/>
  <c r="G66" i="4"/>
  <c r="H66" i="4"/>
  <c r="I66" i="4"/>
  <c r="G67" i="4"/>
  <c r="H67" i="4"/>
  <c r="I67" i="4"/>
  <c r="G68" i="4"/>
  <c r="H68" i="4"/>
  <c r="I68" i="4"/>
  <c r="G69" i="4"/>
  <c r="I69" i="4" s="1"/>
  <c r="H69" i="4"/>
  <c r="G70" i="4"/>
  <c r="I70" i="4" s="1"/>
  <c r="H70" i="4"/>
  <c r="A11" i="4"/>
  <c r="C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D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B66" i="4"/>
  <c r="C66" i="4"/>
  <c r="B67" i="4"/>
  <c r="C67" i="4"/>
  <c r="B68" i="4"/>
  <c r="C68" i="4"/>
  <c r="B69" i="4"/>
  <c r="C69" i="4"/>
  <c r="C70" i="4"/>
  <c r="L11" i="4" l="1"/>
  <c r="F57" i="4"/>
  <c r="F56" i="4"/>
  <c r="F54" i="4"/>
  <c r="F53" i="4"/>
  <c r="F51" i="4"/>
  <c r="F49" i="4"/>
  <c r="F48" i="4"/>
  <c r="F47" i="4"/>
  <c r="F59" i="4"/>
  <c r="F60" i="4"/>
  <c r="F61" i="4"/>
  <c r="F64" i="4"/>
  <c r="F45" i="4"/>
  <c r="F44" i="4"/>
  <c r="F42" i="4"/>
  <c r="F40" i="4"/>
  <c r="F39" i="4"/>
  <c r="F38" i="4"/>
  <c r="F36" i="4"/>
  <c r="F35" i="4"/>
  <c r="F34" i="4"/>
  <c r="F33" i="4"/>
  <c r="F31" i="4"/>
  <c r="F30" i="4"/>
  <c r="F29" i="4"/>
  <c r="F28" i="4"/>
  <c r="F27" i="4"/>
  <c r="F25" i="4"/>
  <c r="F23" i="4"/>
  <c r="F21" i="4"/>
  <c r="F19" i="4"/>
  <c r="F65" i="4"/>
  <c r="F66" i="4"/>
  <c r="F67" i="4"/>
  <c r="F68" i="4"/>
  <c r="F69" i="4"/>
  <c r="F18" i="4"/>
  <c r="F17" i="4"/>
  <c r="F15" i="4"/>
  <c r="F14" i="4"/>
  <c r="F16" i="4"/>
  <c r="F20" i="4"/>
  <c r="F22" i="4"/>
  <c r="F24" i="4"/>
  <c r="F26" i="4"/>
  <c r="F32" i="4"/>
  <c r="F37" i="4"/>
  <c r="F41" i="4"/>
  <c r="K41" i="4" s="1"/>
  <c r="F43" i="4"/>
  <c r="F46" i="4"/>
  <c r="F50" i="4"/>
  <c r="F52" i="4"/>
  <c r="F55" i="4"/>
  <c r="F58" i="4"/>
  <c r="F62" i="4"/>
  <c r="F63" i="4"/>
  <c r="F70" i="4"/>
  <c r="F13" i="4"/>
  <c r="L12" i="4" l="1"/>
  <c r="L13" i="4"/>
  <c r="L14" i="4"/>
  <c r="L15" i="4"/>
  <c r="L16" i="4"/>
  <c r="L17" i="4"/>
  <c r="L18" i="4"/>
  <c r="L21" i="4"/>
  <c r="L22" i="4"/>
  <c r="L23" i="4"/>
  <c r="L24" i="4"/>
  <c r="L25" i="4"/>
  <c r="L26" i="4"/>
  <c r="L27" i="4"/>
  <c r="L28" i="4"/>
  <c r="L29" i="4"/>
  <c r="L52" i="4"/>
  <c r="L53" i="4"/>
  <c r="L54" i="4"/>
  <c r="L56" i="4"/>
  <c r="L57" i="4"/>
  <c r="L58" i="4"/>
  <c r="L59" i="4"/>
  <c r="L60" i="4"/>
  <c r="M68" i="4"/>
  <c r="M64" i="4" l="1"/>
  <c r="M65" i="4"/>
  <c r="M69" i="4"/>
  <c r="M70" i="4"/>
  <c r="M36" i="4"/>
  <c r="M37" i="4"/>
  <c r="M31" i="4"/>
  <c r="M32" i="4"/>
  <c r="M33" i="4"/>
  <c r="M34" i="4"/>
  <c r="M25" i="4"/>
  <c r="M22" i="4"/>
  <c r="M14" i="4"/>
  <c r="M16" i="4"/>
  <c r="F12" i="4"/>
  <c r="M12" i="4"/>
  <c r="M13" i="4"/>
  <c r="K8" i="4" l="1"/>
  <c r="O13" i="4"/>
  <c r="Q13" i="4"/>
  <c r="O16" i="4"/>
  <c r="Q16" i="4"/>
  <c r="O15" i="4"/>
  <c r="Q15" i="4"/>
  <c r="O22" i="4"/>
  <c r="Q22" i="4"/>
  <c r="O21" i="4"/>
  <c r="Q21" i="4"/>
  <c r="O20" i="4"/>
  <c r="Q20" i="4"/>
  <c r="O19" i="4"/>
  <c r="Q19" i="4"/>
  <c r="O29" i="4"/>
  <c r="Q29" i="4"/>
  <c r="O28" i="4"/>
  <c r="Q28" i="4"/>
  <c r="O27" i="4"/>
  <c r="Q27" i="4"/>
  <c r="O26" i="4"/>
  <c r="Q26" i="4"/>
  <c r="O34" i="4"/>
  <c r="Q34" i="4"/>
  <c r="O32" i="4"/>
  <c r="Q32" i="4"/>
  <c r="O37" i="4"/>
  <c r="Q37" i="4"/>
  <c r="O68" i="4"/>
  <c r="Q68" i="4"/>
  <c r="O67" i="4"/>
  <c r="Q67" i="4"/>
  <c r="O66" i="4"/>
  <c r="Q66" i="4"/>
  <c r="O64" i="4"/>
  <c r="Q64" i="4"/>
  <c r="O63" i="4"/>
  <c r="Q63" i="4"/>
  <c r="O62" i="4"/>
  <c r="Q62" i="4"/>
  <c r="O61" i="4"/>
  <c r="Q61" i="4"/>
  <c r="O60" i="4"/>
  <c r="Q60" i="4"/>
  <c r="O18" i="4"/>
  <c r="Q18" i="4"/>
  <c r="O17" i="4"/>
  <c r="Q17" i="4"/>
  <c r="O14" i="4"/>
  <c r="Q14" i="4"/>
  <c r="O23" i="4"/>
  <c r="Q23" i="4"/>
  <c r="O33" i="4"/>
  <c r="Q33" i="4"/>
  <c r="O31" i="4"/>
  <c r="Q31" i="4"/>
  <c r="O30" i="4"/>
  <c r="Q30" i="4"/>
  <c r="O36" i="4"/>
  <c r="Q36" i="4"/>
  <c r="O35" i="4"/>
  <c r="Q35" i="4"/>
  <c r="Q69" i="4"/>
  <c r="O69" i="4"/>
  <c r="O65" i="4"/>
  <c r="Q65" i="4"/>
  <c r="Q70" i="4"/>
  <c r="O70" i="4"/>
  <c r="M15" i="4"/>
  <c r="M21" i="4"/>
  <c r="K62" i="4"/>
  <c r="K59" i="4"/>
  <c r="M17" i="4"/>
  <c r="K61" i="4"/>
  <c r="K60" i="4"/>
  <c r="M62" i="4"/>
  <c r="M61" i="4"/>
  <c r="M60" i="4"/>
  <c r="M59" i="4"/>
  <c r="M58" i="4"/>
  <c r="M57" i="4"/>
  <c r="M56" i="4"/>
  <c r="M55" i="4"/>
  <c r="M54" i="4"/>
  <c r="M53" i="4"/>
  <c r="M52" i="4"/>
  <c r="M51" i="4"/>
  <c r="K20" i="4"/>
  <c r="K19" i="4"/>
  <c r="K26" i="4"/>
  <c r="K67" i="4"/>
  <c r="K66" i="4"/>
  <c r="K65" i="4"/>
  <c r="K64" i="4"/>
  <c r="K63" i="4"/>
  <c r="M63" i="4"/>
  <c r="K35" i="4"/>
  <c r="M66" i="4"/>
  <c r="K37" i="4"/>
  <c r="K36" i="4"/>
  <c r="M35" i="4"/>
  <c r="K70" i="4"/>
  <c r="K69" i="4"/>
  <c r="K68" i="4"/>
  <c r="M67" i="4"/>
  <c r="K23" i="4"/>
  <c r="K30" i="4"/>
  <c r="M30" i="4"/>
  <c r="K25" i="4"/>
  <c r="K34" i="4"/>
  <c r="K33" i="4"/>
  <c r="K32" i="4"/>
  <c r="K31" i="4"/>
  <c r="K18" i="4"/>
  <c r="K28" i="4"/>
  <c r="M28" i="4"/>
  <c r="K29" i="4"/>
  <c r="M29" i="4"/>
  <c r="K27" i="4"/>
  <c r="M27" i="4"/>
  <c r="M26" i="4"/>
  <c r="M20" i="4"/>
  <c r="M18" i="4"/>
  <c r="M23" i="4"/>
  <c r="M19" i="4"/>
  <c r="K15" i="4"/>
  <c r="K21" i="4"/>
  <c r="K12" i="4"/>
  <c r="K16" i="4"/>
  <c r="K14" i="4"/>
  <c r="K22" i="4"/>
  <c r="K17" i="4"/>
  <c r="K13" i="4"/>
  <c r="P30" i="4" l="1"/>
  <c r="P17" i="4"/>
  <c r="P23" i="4"/>
  <c r="P14" i="4"/>
  <c r="P69" i="4"/>
  <c r="P65" i="4"/>
  <c r="P33" i="4"/>
  <c r="P70" i="4"/>
  <c r="P35" i="4"/>
  <c r="P31" i="4"/>
  <c r="P18" i="4"/>
  <c r="P62" i="4"/>
  <c r="P64" i="4"/>
  <c r="P68" i="4"/>
  <c r="P36" i="4"/>
  <c r="P61" i="4"/>
  <c r="P63" i="4"/>
  <c r="P67" i="4"/>
  <c r="P32" i="4"/>
  <c r="P34" i="4"/>
  <c r="P28" i="4"/>
  <c r="P19" i="4"/>
  <c r="P21" i="4"/>
  <c r="P15" i="4"/>
  <c r="P66" i="4"/>
  <c r="P37" i="4"/>
  <c r="P27" i="4"/>
  <c r="P29" i="4"/>
  <c r="P20" i="4"/>
  <c r="P22" i="4"/>
  <c r="P16" i="4"/>
  <c r="F11" i="4" l="1"/>
  <c r="Q12" i="4" l="1"/>
  <c r="O12" i="4"/>
  <c r="G4" i="4"/>
  <c r="O24" i="4"/>
  <c r="P24" i="4" s="1"/>
  <c r="Q24" i="4"/>
  <c r="O25" i="4"/>
  <c r="Q25" i="4"/>
  <c r="O38" i="4"/>
  <c r="P38" i="4" s="1"/>
  <c r="Q38" i="4"/>
  <c r="O39" i="4"/>
  <c r="Q39" i="4"/>
  <c r="O40" i="4"/>
  <c r="Q40" i="4"/>
  <c r="O41" i="4"/>
  <c r="Q41" i="4"/>
  <c r="O42" i="4"/>
  <c r="Q42" i="4"/>
  <c r="O43" i="4"/>
  <c r="Q43" i="4"/>
  <c r="O44" i="4"/>
  <c r="Q44" i="4"/>
  <c r="O45" i="4"/>
  <c r="Q45" i="4"/>
  <c r="O46" i="4"/>
  <c r="Q46" i="4"/>
  <c r="O47" i="4"/>
  <c r="Q47" i="4"/>
  <c r="O48" i="4"/>
  <c r="Q48" i="4"/>
  <c r="O49" i="4"/>
  <c r="Q49" i="4"/>
  <c r="O50" i="4"/>
  <c r="Q50" i="4"/>
  <c r="O51" i="4"/>
  <c r="Q51" i="4"/>
  <c r="O52" i="4"/>
  <c r="Q52" i="4"/>
  <c r="O53" i="4"/>
  <c r="Q53" i="4"/>
  <c r="O54" i="4"/>
  <c r="Q54" i="4"/>
  <c r="O55" i="4"/>
  <c r="Q55" i="4"/>
  <c r="O56" i="4"/>
  <c r="Q56" i="4"/>
  <c r="O57" i="4"/>
  <c r="Q57" i="4"/>
  <c r="O58" i="4"/>
  <c r="Q58" i="4"/>
  <c r="Q59" i="4"/>
  <c r="O59" i="4"/>
  <c r="K58" i="4"/>
  <c r="K57" i="4"/>
  <c r="K56" i="4"/>
  <c r="K55" i="4"/>
  <c r="K54" i="4"/>
  <c r="K53" i="4"/>
  <c r="K52" i="4"/>
  <c r="K51" i="4"/>
  <c r="P13" i="4"/>
  <c r="M41" i="4"/>
  <c r="M45" i="4"/>
  <c r="M49" i="4"/>
  <c r="M8" i="4"/>
  <c r="M24" i="4"/>
  <c r="M38" i="4"/>
  <c r="M42" i="4"/>
  <c r="M46" i="4"/>
  <c r="M50" i="4"/>
  <c r="M40" i="4"/>
  <c r="M44" i="4"/>
  <c r="M48" i="4"/>
  <c r="M43" i="4"/>
  <c r="M47" i="4"/>
  <c r="M39" i="4"/>
  <c r="P39" i="4" l="1"/>
  <c r="P52" i="4"/>
  <c r="P46" i="4"/>
  <c r="P48" i="4"/>
  <c r="P50" i="4"/>
  <c r="P44" i="4"/>
  <c r="P42" i="4"/>
  <c r="P40" i="4"/>
  <c r="P43" i="4"/>
  <c r="P41" i="4"/>
  <c r="P57" i="4"/>
  <c r="P55" i="4"/>
  <c r="P53" i="4"/>
  <c r="P51" i="4"/>
  <c r="P49" i="4"/>
  <c r="P47" i="4"/>
  <c r="P45" i="4"/>
  <c r="P58" i="4"/>
  <c r="P56" i="4"/>
  <c r="P54" i="4"/>
  <c r="P59" i="4"/>
  <c r="P60" i="4"/>
  <c r="P25" i="4"/>
  <c r="P26" i="4"/>
  <c r="P12" i="4"/>
  <c r="M6" i="4"/>
  <c r="K11" i="4" l="1"/>
  <c r="K4" i="4" l="1"/>
  <c r="I4" i="4"/>
  <c r="K24" i="4"/>
  <c r="K50" i="4"/>
  <c r="K42" i="4"/>
  <c r="K49" i="4"/>
  <c r="K40" i="4"/>
  <c r="K43" i="4"/>
  <c r="K38" i="4"/>
  <c r="K48" i="4"/>
  <c r="K44" i="4"/>
  <c r="K45" i="4"/>
  <c r="K39" i="4"/>
  <c r="M4" i="4" l="1"/>
  <c r="K47" i="4"/>
  <c r="K46" i="4"/>
  <c r="T37" i="4" l="1"/>
  <c r="K6" i="4"/>
  <c r="I6" i="4" l="1"/>
  <c r="G6" i="4" s="1"/>
</calcChain>
</file>

<file path=xl/sharedStrings.xml><?xml version="1.0" encoding="utf-8"?>
<sst xmlns="http://schemas.openxmlformats.org/spreadsheetml/2006/main" count="92" uniqueCount="89">
  <si>
    <t>Ensayo1</t>
  </si>
  <si>
    <t>2V2 1 VCC</t>
  </si>
  <si>
    <t>1V1 100 VCC</t>
  </si>
  <si>
    <t>3V3 100 mVCC</t>
  </si>
  <si>
    <t>V (V)</t>
  </si>
  <si>
    <t>I (A)</t>
  </si>
  <si>
    <t>P (W)</t>
  </si>
  <si>
    <t>I' (A)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</si>
  <si>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I(%)</t>
    </r>
  </si>
  <si>
    <t>G (W/m2)</t>
  </si>
  <si>
    <t>Gmin=</t>
  </si>
  <si>
    <t>Gmax=</t>
  </si>
  <si>
    <t>P'(W)</t>
  </si>
  <si>
    <t>valores no medidos, introducidos manualmente (insertados)</t>
  </si>
  <si>
    <t>Isc/G=</t>
  </si>
  <si>
    <t>valores de puntos de máxima potencia</t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</si>
  <si>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G (%)=</t>
    </r>
  </si>
  <si>
    <r>
      <rPr>
        <sz val="11"/>
        <rFont val="Symbol"/>
        <family val="1"/>
        <charset val="2"/>
      </rPr>
      <t>D</t>
    </r>
    <r>
      <rPr>
        <sz val="11"/>
        <rFont val="Arial"/>
        <family val="2"/>
      </rPr>
      <t xml:space="preserve">I' </t>
    </r>
    <r>
      <rPr>
        <sz val="11"/>
        <rFont val="Calibri"/>
        <family val="2"/>
        <scheme val="minor"/>
      </rPr>
      <t>(%)=</t>
    </r>
  </si>
  <si>
    <t>Gmed=</t>
  </si>
  <si>
    <t>I'sc/G=</t>
  </si>
  <si>
    <t>Ta=</t>
  </si>
  <si>
    <t>Tcel=</t>
  </si>
  <si>
    <t>Pmáx=</t>
  </si>
  <si>
    <t>Vmáx=</t>
  </si>
  <si>
    <t>Imáx=</t>
  </si>
  <si>
    <t>dU/dI</t>
  </si>
  <si>
    <t>Acción</t>
  </si>
  <si>
    <t>dU/dI (pu)</t>
  </si>
  <si>
    <t>M1: SPR-205</t>
  </si>
  <si>
    <t>Comienzo: 01/07/2016 16:05:10</t>
  </si>
  <si>
    <t>Finalización: 01/07/2016 16:06:32</t>
  </si>
  <si>
    <t>+6,50943060E-02</t>
  </si>
  <si>
    <t>+6,49991510E-02</t>
  </si>
  <si>
    <t>+6,52566290E-02</t>
  </si>
  <si>
    <t>+6,52349390E-02</t>
  </si>
  <si>
    <t>+6,52832160E-02</t>
  </si>
  <si>
    <t>+6,52321400E-02</t>
  </si>
  <si>
    <t>+6,50803120E-02</t>
  </si>
  <si>
    <t>+6,53084040E-02</t>
  </si>
  <si>
    <t>+6,52111500E-02</t>
  </si>
  <si>
    <t>+6,51957580E-02</t>
  </si>
  <si>
    <t>+6,51726690E-02</t>
  </si>
  <si>
    <t>+6,51397840E-02</t>
  </si>
  <si>
    <t>+6,52181470E-02</t>
  </si>
  <si>
    <t>+6,52272430E-02</t>
  </si>
  <si>
    <t>+6,51684710E-02</t>
  </si>
  <si>
    <t>+6,51509790E-02</t>
  </si>
  <si>
    <t>+6,53230970E-02</t>
  </si>
  <si>
    <t>+6,52573280E-02</t>
  </si>
  <si>
    <t>+6,53195990E-02</t>
  </si>
  <si>
    <t>+6,52146490E-02</t>
  </si>
  <si>
    <t>+6,53265960E-02</t>
  </si>
  <si>
    <t>+6,51551770E-02</t>
  </si>
  <si>
    <t>+6,51824640E-02</t>
  </si>
  <si>
    <t>+6,53244970E-02</t>
  </si>
  <si>
    <t>+6,51138970E-02</t>
  </si>
  <si>
    <t>+6,52188470E-02</t>
  </si>
  <si>
    <t>+6,51901600E-02</t>
  </si>
  <si>
    <t>+6,51544770E-02</t>
  </si>
  <si>
    <t>+6,52195460E-02</t>
  </si>
  <si>
    <t>+6,51733680E-02</t>
  </si>
  <si>
    <t>+6,52692230E-02</t>
  </si>
  <si>
    <t>+6,51656720E-02</t>
  </si>
  <si>
    <t>+6,51495800E-02</t>
  </si>
  <si>
    <t>+6,51418830E-02</t>
  </si>
  <si>
    <t>+6,51523780E-02</t>
  </si>
  <si>
    <t>+6,52993090E-02</t>
  </si>
  <si>
    <t>+6,51866620E-02</t>
  </si>
  <si>
    <t>+6,51404840E-02</t>
  </si>
  <si>
    <t>+6,52230450E-02</t>
  </si>
  <si>
    <t>+6,52062530E-02</t>
  </si>
  <si>
    <t>+6,52174470E-02</t>
  </si>
  <si>
    <t>+6,52440350E-02</t>
  </si>
  <si>
    <t>+6,51985560E-02</t>
  </si>
  <si>
    <t>+6,51467810E-02</t>
  </si>
  <si>
    <t>+6,51285900E-02</t>
  </si>
  <si>
    <t>+6,52818170E-02</t>
  </si>
  <si>
    <t>+6,50915070E-02</t>
  </si>
  <si>
    <t>+6,50369330E-02</t>
  </si>
  <si>
    <t>+6,51152960E-02</t>
  </si>
  <si>
    <t>+6,51110980E-02</t>
  </si>
  <si>
    <t>+6,52265430E-02</t>
  </si>
  <si>
    <t>6.514818</t>
  </si>
  <si>
    <t xml:space="preserve">parámetros </t>
  </si>
  <si>
    <t>Isc</t>
  </si>
  <si>
    <t>Voc</t>
  </si>
  <si>
    <t>Vmp</t>
  </si>
  <si>
    <t>Imp</t>
  </si>
  <si>
    <t>Curva sacada directamente del TFM de Dalton Narváez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</si>
</sst>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Symbol"/>
      <family val="1"/>
      <charset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3" borderId="0" xfId="0" applyFill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0" fillId="4" borderId="0" xfId="0" applyNumberFormat="1" applyFill="1" applyAlignment="1">
      <alignment horizontal="right"/>
    </xf>
    <xf numFmtId="1" fontId="0" fillId="0" borderId="0" xfId="0" applyNumberFormat="1"/>
    <xf numFmtId="0" fontId="2" fillId="6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4" fontId="6" fillId="0" borderId="0" xfId="0" applyNumberFormat="1" applyFont="1" applyAlignment="1">
      <alignment horizontal="right"/>
    </xf>
    <xf numFmtId="164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191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959787846806E-2"/>
          <c:y val="8.8755662450334324E-2"/>
          <c:w val="0.85430532639283563"/>
          <c:h val="0.86399661092337865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3.6960000000000002</c:v>
                </c:pt>
                <c:pt idx="9">
                  <c:v>4.0359999999999996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4.9390000000000001</c:v>
                </c:pt>
                <c:pt idx="20">
                  <c:v>4.9729999999999999</c:v>
                </c:pt>
                <c:pt idx="21">
                  <c:v>4.9939999999999998</c:v>
                </c:pt>
                <c:pt idx="22">
                  <c:v>5.0114999999999998</c:v>
                </c:pt>
                <c:pt idx="23">
                  <c:v>5.0298999999999996</c:v>
                </c:pt>
                <c:pt idx="24">
                  <c:v>5.0419999999999998</c:v>
                </c:pt>
                <c:pt idx="25">
                  <c:v>5.0735000000000001</c:v>
                </c:pt>
                <c:pt idx="26">
                  <c:v>5.0884999999999998</c:v>
                </c:pt>
                <c:pt idx="27">
                  <c:v>5.109</c:v>
                </c:pt>
                <c:pt idx="28">
                  <c:v>5.1159999999999997</c:v>
                </c:pt>
                <c:pt idx="29">
                  <c:v>5.1280000000000001</c:v>
                </c:pt>
                <c:pt idx="30">
                  <c:v>5.1459999999999999</c:v>
                </c:pt>
                <c:pt idx="31">
                  <c:v>5.1669999999999998</c:v>
                </c:pt>
                <c:pt idx="32">
                  <c:v>5.181</c:v>
                </c:pt>
                <c:pt idx="33">
                  <c:v>5.1959999999999997</c:v>
                </c:pt>
                <c:pt idx="34">
                  <c:v>5.2065000000000001</c:v>
                </c:pt>
                <c:pt idx="35">
                  <c:v>5.22</c:v>
                </c:pt>
                <c:pt idx="36">
                  <c:v>5.2460000000000004</c:v>
                </c:pt>
                <c:pt idx="37">
                  <c:v>5.2626999999999997</c:v>
                </c:pt>
                <c:pt idx="38">
                  <c:v>5.2690000000000001</c:v>
                </c:pt>
                <c:pt idx="39">
                  <c:v>5.2880000000000003</c:v>
                </c:pt>
                <c:pt idx="40">
                  <c:v>5.3055000000000003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5.383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5.4574999999999996</c:v>
                </c:pt>
                <c:pt idx="51">
                  <c:v>5.46</c:v>
                </c:pt>
                <c:pt idx="52">
                  <c:v>5.4725000000000001</c:v>
                </c:pt>
                <c:pt idx="53">
                  <c:v>5.4931999999999999</c:v>
                </c:pt>
                <c:pt idx="54">
                  <c:v>5.5217999999999998</c:v>
                </c:pt>
                <c:pt idx="55">
                  <c:v>5.5444000000000004</c:v>
                </c:pt>
                <c:pt idx="56">
                  <c:v>5.5658000000000003</c:v>
                </c:pt>
                <c:pt idx="57">
                  <c:v>5.5750999999999999</c:v>
                </c:pt>
                <c:pt idx="58">
                  <c:v>5.5774999999999997</c:v>
                </c:pt>
                <c:pt idx="59">
                  <c:v>5.5807000000000002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84-8C2E-605932B897F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 w="6350">
                <a:solidFill>
                  <a:schemeClr val="tx1"/>
                </a:solidFill>
              </a:ln>
            </c:spPr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3.6986822000000004</c:v>
                </c:pt>
                <c:pt idx="9">
                  <c:v>4.0369643999999996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4.9398417999999999</c:v>
                </c:pt>
                <c:pt idx="20">
                  <c:v>4.9707153999999996</c:v>
                </c:pt>
                <c:pt idx="21">
                  <c:v>4.9943246000000006</c:v>
                </c:pt>
                <c:pt idx="22">
                  <c:v>5.0101107000000003</c:v>
                </c:pt>
                <c:pt idx="23">
                  <c:v>5.0302971999999997</c:v>
                </c:pt>
                <c:pt idx="24">
                  <c:v>5.0434988000000001</c:v>
                </c:pt>
                <c:pt idx="25">
                  <c:v>5.0715085999999996</c:v>
                </c:pt>
                <c:pt idx="26">
                  <c:v>5.0854063000000007</c:v>
                </c:pt>
                <c:pt idx="27">
                  <c:v>5.1051760999999996</c:v>
                </c:pt>
                <c:pt idx="28">
                  <c:v>5.1158631000000003</c:v>
                </c:pt>
                <c:pt idx="29">
                  <c:v>5.1292742999999996</c:v>
                </c:pt>
                <c:pt idx="30">
                  <c:v>5.1455223000000005</c:v>
                </c:pt>
                <c:pt idx="31">
                  <c:v>5.1647578999999997</c:v>
                </c:pt>
                <c:pt idx="32">
                  <c:v>5.1786869000000006</c:v>
                </c:pt>
                <c:pt idx="33">
                  <c:v>5.1940249999999999</c:v>
                </c:pt>
                <c:pt idx="34">
                  <c:v>5.211208000000001</c:v>
                </c:pt>
                <c:pt idx="35">
                  <c:v>5.2187517999999997</c:v>
                </c:pt>
                <c:pt idx="36">
                  <c:v>5.2480886000000009</c:v>
                </c:pt>
                <c:pt idx="37">
                  <c:v>5.2591248999999998</c:v>
                </c:pt>
                <c:pt idx="38">
                  <c:v>5.2723962999999996</c:v>
                </c:pt>
                <c:pt idx="39">
                  <c:v>5.287903</c:v>
                </c:pt>
                <c:pt idx="40">
                  <c:v>5.3040383000000002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5.3808730000000002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5.4572187000000003</c:v>
                </c:pt>
                <c:pt idx="51">
                  <c:v>5.4589648999999998</c:v>
                </c:pt>
                <c:pt idx="52">
                  <c:v>5.4759384000000004</c:v>
                </c:pt>
                <c:pt idx="53">
                  <c:v>5.4901178999999996</c:v>
                </c:pt>
                <c:pt idx="54">
                  <c:v>5.5004556999999998</c:v>
                </c:pt>
                <c:pt idx="55">
                  <c:v>5.5297925999999995</c:v>
                </c:pt>
                <c:pt idx="56">
                  <c:v>5.5771506999999998</c:v>
                </c:pt>
                <c:pt idx="57">
                  <c:v>5.5818306</c:v>
                </c:pt>
                <c:pt idx="58">
                  <c:v>5.5872089999999996</c:v>
                </c:pt>
                <c:pt idx="59">
                  <c:v>5.5884663000000003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480"/>
        <c:axId val="53718016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1001.4508615384616</c:v>
                </c:pt>
                <c:pt idx="1">
                  <c:v>999.98693846153856</c:v>
                </c:pt>
                <c:pt idx="2">
                  <c:v>100227969230.76923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1003.3022923076923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1002.6671999999999</c:v>
                </c:pt>
                <c:pt idx="37">
                  <c:v>1004.1418923076923</c:v>
                </c:pt>
                <c:pt idx="38">
                  <c:v>1002.5487999999999</c:v>
                </c:pt>
                <c:pt idx="39">
                  <c:v>1002.3012307692308</c:v>
                </c:pt>
                <c:pt idx="40">
                  <c:v>1002.1828153846153</c:v>
                </c:pt>
                <c:pt idx="41">
                  <c:v>1002.6671999999999</c:v>
                </c:pt>
                <c:pt idx="42">
                  <c:v>1002.3442769230769</c:v>
                </c:pt>
                <c:pt idx="43">
                  <c:v>1004.6047538461538</c:v>
                </c:pt>
                <c:pt idx="44">
                  <c:v>1002.8717230769231</c:v>
                </c:pt>
                <c:pt idx="45">
                  <c:v>1002.1612923076923</c:v>
                </c:pt>
                <c:pt idx="46">
                  <c:v>1003.4314615384613</c:v>
                </c:pt>
                <c:pt idx="47">
                  <c:v>1003.1731230769232</c:v>
                </c:pt>
                <c:pt idx="48">
                  <c:v>1003.3453384615385</c:v>
                </c:pt>
                <c:pt idx="49">
                  <c:v>1003.7543846153847</c:v>
                </c:pt>
                <c:pt idx="50">
                  <c:v>1003.0547076923077</c:v>
                </c:pt>
                <c:pt idx="51">
                  <c:v>1002.2581692307692</c:v>
                </c:pt>
                <c:pt idx="52">
                  <c:v>1001.9783076923077</c:v>
                </c:pt>
                <c:pt idx="53">
                  <c:v>1004.3356461538461</c:v>
                </c:pt>
                <c:pt idx="54">
                  <c:v>1001.4078000000001</c:v>
                </c:pt>
                <c:pt idx="55">
                  <c:v>1000.5682</c:v>
                </c:pt>
                <c:pt idx="56">
                  <c:v>1001.7737846153847</c:v>
                </c:pt>
                <c:pt idx="57">
                  <c:v>1002.2581692307692</c:v>
                </c:pt>
                <c:pt idx="58">
                  <c:v>1001.7092000000001</c:v>
                </c:pt>
                <c:pt idx="59">
                  <c:v>1003.4852769230769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968"/>
        <c:axId val="53954432"/>
      </c:scatterChart>
      <c:valAx>
        <c:axId val="53716480"/>
        <c:scaling>
          <c:orientation val="minMax"/>
          <c:max val="33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718016"/>
        <c:crosses val="autoZero"/>
        <c:crossBetween val="midCat"/>
      </c:valAx>
      <c:valAx>
        <c:axId val="53718016"/>
        <c:scaling>
          <c:orientation val="minMax"/>
          <c:max val="5.6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3716480"/>
        <c:crosses val="autoZero"/>
        <c:crossBetween val="midCat"/>
        <c:majorUnit val="0.05"/>
      </c:valAx>
      <c:valAx>
        <c:axId val="5395443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53955968"/>
        <c:crosses val="max"/>
        <c:crossBetween val="midCat"/>
      </c:valAx>
      <c:valAx>
        <c:axId val="539559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53954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31" r="0.750000000000013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6136260654714E-2"/>
          <c:y val="4.8689184451184475E-2"/>
          <c:w val="0.85430532639283563"/>
          <c:h val="0.86901237114564556"/>
        </c:manualLayout>
      </c:layout>
      <c:scatterChart>
        <c:scatterStyle val="lineMarker"/>
        <c:varyColors val="0"/>
        <c:ser>
          <c:idx val="0"/>
          <c:order val="0"/>
          <c:tx>
            <c:v>I</c:v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5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3.6986822000000004</c:v>
                </c:pt>
                <c:pt idx="9">
                  <c:v>4.0369643999999996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4.9398417999999999</c:v>
                </c:pt>
                <c:pt idx="20">
                  <c:v>4.9707153999999996</c:v>
                </c:pt>
                <c:pt idx="21">
                  <c:v>4.9943246000000006</c:v>
                </c:pt>
                <c:pt idx="22">
                  <c:v>5.0101107000000003</c:v>
                </c:pt>
                <c:pt idx="23">
                  <c:v>5.0302971999999997</c:v>
                </c:pt>
                <c:pt idx="24">
                  <c:v>5.0434988000000001</c:v>
                </c:pt>
                <c:pt idx="25">
                  <c:v>5.0715085999999996</c:v>
                </c:pt>
                <c:pt idx="26">
                  <c:v>5.0854063000000007</c:v>
                </c:pt>
                <c:pt idx="27">
                  <c:v>5.1051760999999996</c:v>
                </c:pt>
                <c:pt idx="28">
                  <c:v>5.1158631000000003</c:v>
                </c:pt>
                <c:pt idx="29">
                  <c:v>5.1292742999999996</c:v>
                </c:pt>
                <c:pt idx="30">
                  <c:v>5.1455223000000005</c:v>
                </c:pt>
                <c:pt idx="31">
                  <c:v>5.1647578999999997</c:v>
                </c:pt>
                <c:pt idx="32">
                  <c:v>5.1786869000000006</c:v>
                </c:pt>
                <c:pt idx="33">
                  <c:v>5.1940249999999999</c:v>
                </c:pt>
                <c:pt idx="34">
                  <c:v>5.211208000000001</c:v>
                </c:pt>
                <c:pt idx="35">
                  <c:v>5.2187517999999997</c:v>
                </c:pt>
                <c:pt idx="36">
                  <c:v>5.2480886000000009</c:v>
                </c:pt>
                <c:pt idx="37">
                  <c:v>5.2591248999999998</c:v>
                </c:pt>
                <c:pt idx="38">
                  <c:v>5.2723962999999996</c:v>
                </c:pt>
                <c:pt idx="39">
                  <c:v>5.287903</c:v>
                </c:pt>
                <c:pt idx="40">
                  <c:v>5.3040383000000002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5.3808730000000002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5.4572187000000003</c:v>
                </c:pt>
                <c:pt idx="51">
                  <c:v>5.4589648999999998</c:v>
                </c:pt>
                <c:pt idx="52">
                  <c:v>5.4759384000000004</c:v>
                </c:pt>
                <c:pt idx="53">
                  <c:v>5.4901178999999996</c:v>
                </c:pt>
                <c:pt idx="54">
                  <c:v>5.5004556999999998</c:v>
                </c:pt>
                <c:pt idx="55">
                  <c:v>5.5297925999999995</c:v>
                </c:pt>
                <c:pt idx="56">
                  <c:v>5.5771506999999998</c:v>
                </c:pt>
                <c:pt idx="57">
                  <c:v>5.5818306</c:v>
                </c:pt>
                <c:pt idx="58">
                  <c:v>5.5872089999999996</c:v>
                </c:pt>
                <c:pt idx="59">
                  <c:v>5.5884663000000003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B-4E8B-B35C-C02E803CCCC3}"/>
            </c:ext>
          </c:extLst>
        </c:ser>
        <c:ser>
          <c:idx val="1"/>
          <c:order val="2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3.6960000000000002</c:v>
                </c:pt>
                <c:pt idx="9">
                  <c:v>4.0359999999999996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4.9390000000000001</c:v>
                </c:pt>
                <c:pt idx="20">
                  <c:v>4.9729999999999999</c:v>
                </c:pt>
                <c:pt idx="21">
                  <c:v>4.9939999999999998</c:v>
                </c:pt>
                <c:pt idx="22">
                  <c:v>5.0114999999999998</c:v>
                </c:pt>
                <c:pt idx="23">
                  <c:v>5.0298999999999996</c:v>
                </c:pt>
                <c:pt idx="24">
                  <c:v>5.0419999999999998</c:v>
                </c:pt>
                <c:pt idx="25">
                  <c:v>5.0735000000000001</c:v>
                </c:pt>
                <c:pt idx="26">
                  <c:v>5.0884999999999998</c:v>
                </c:pt>
                <c:pt idx="27">
                  <c:v>5.109</c:v>
                </c:pt>
                <c:pt idx="28">
                  <c:v>5.1159999999999997</c:v>
                </c:pt>
                <c:pt idx="29">
                  <c:v>5.1280000000000001</c:v>
                </c:pt>
                <c:pt idx="30">
                  <c:v>5.1459999999999999</c:v>
                </c:pt>
                <c:pt idx="31">
                  <c:v>5.1669999999999998</c:v>
                </c:pt>
                <c:pt idx="32">
                  <c:v>5.181</c:v>
                </c:pt>
                <c:pt idx="33">
                  <c:v>5.1959999999999997</c:v>
                </c:pt>
                <c:pt idx="34">
                  <c:v>5.2065000000000001</c:v>
                </c:pt>
                <c:pt idx="35">
                  <c:v>5.22</c:v>
                </c:pt>
                <c:pt idx="36">
                  <c:v>5.2460000000000004</c:v>
                </c:pt>
                <c:pt idx="37">
                  <c:v>5.2626999999999997</c:v>
                </c:pt>
                <c:pt idx="38">
                  <c:v>5.2690000000000001</c:v>
                </c:pt>
                <c:pt idx="39">
                  <c:v>5.2880000000000003</c:v>
                </c:pt>
                <c:pt idx="40">
                  <c:v>5.3055000000000003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5.383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5.4574999999999996</c:v>
                </c:pt>
                <c:pt idx="51">
                  <c:v>5.46</c:v>
                </c:pt>
                <c:pt idx="52">
                  <c:v>5.4725000000000001</c:v>
                </c:pt>
                <c:pt idx="53">
                  <c:v>5.4931999999999999</c:v>
                </c:pt>
                <c:pt idx="54">
                  <c:v>5.5217999999999998</c:v>
                </c:pt>
                <c:pt idx="55">
                  <c:v>5.5444000000000004</c:v>
                </c:pt>
                <c:pt idx="56">
                  <c:v>5.5658000000000003</c:v>
                </c:pt>
                <c:pt idx="57">
                  <c:v>5.5750999999999999</c:v>
                </c:pt>
                <c:pt idx="58">
                  <c:v>5.5774999999999997</c:v>
                </c:pt>
                <c:pt idx="59">
                  <c:v>5.5807000000000002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7120"/>
        <c:axId val="81015936"/>
      </c:scatterChart>
      <c:scatterChart>
        <c:scatterStyle val="lineMarker"/>
        <c:varyColors val="0"/>
        <c:ser>
          <c:idx val="3"/>
          <c:order val="1"/>
          <c:tx>
            <c:v>G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1001.4508615384616</c:v>
                </c:pt>
                <c:pt idx="1">
                  <c:v>999.98693846153856</c:v>
                </c:pt>
                <c:pt idx="2">
                  <c:v>100227969230.76923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1003.3022923076923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1002.6671999999999</c:v>
                </c:pt>
                <c:pt idx="37">
                  <c:v>1004.1418923076923</c:v>
                </c:pt>
                <c:pt idx="38">
                  <c:v>1002.5487999999999</c:v>
                </c:pt>
                <c:pt idx="39">
                  <c:v>1002.3012307692308</c:v>
                </c:pt>
                <c:pt idx="40">
                  <c:v>1002.1828153846153</c:v>
                </c:pt>
                <c:pt idx="41">
                  <c:v>1002.6671999999999</c:v>
                </c:pt>
                <c:pt idx="42">
                  <c:v>1002.3442769230769</c:v>
                </c:pt>
                <c:pt idx="43">
                  <c:v>1004.6047538461538</c:v>
                </c:pt>
                <c:pt idx="44">
                  <c:v>1002.8717230769231</c:v>
                </c:pt>
                <c:pt idx="45">
                  <c:v>1002.1612923076923</c:v>
                </c:pt>
                <c:pt idx="46">
                  <c:v>1003.4314615384613</c:v>
                </c:pt>
                <c:pt idx="47">
                  <c:v>1003.1731230769232</c:v>
                </c:pt>
                <c:pt idx="48">
                  <c:v>1003.3453384615385</c:v>
                </c:pt>
                <c:pt idx="49">
                  <c:v>1003.7543846153847</c:v>
                </c:pt>
                <c:pt idx="50">
                  <c:v>1003.0547076923077</c:v>
                </c:pt>
                <c:pt idx="51">
                  <c:v>1002.2581692307692</c:v>
                </c:pt>
                <c:pt idx="52">
                  <c:v>1001.9783076923077</c:v>
                </c:pt>
                <c:pt idx="53">
                  <c:v>1004.3356461538461</c:v>
                </c:pt>
                <c:pt idx="54">
                  <c:v>1001.4078000000001</c:v>
                </c:pt>
                <c:pt idx="55">
                  <c:v>1000.5682</c:v>
                </c:pt>
                <c:pt idx="56">
                  <c:v>1001.7737846153847</c:v>
                </c:pt>
                <c:pt idx="57">
                  <c:v>1002.2581692307692</c:v>
                </c:pt>
                <c:pt idx="58">
                  <c:v>1001.7092000000001</c:v>
                </c:pt>
                <c:pt idx="59">
                  <c:v>1003.4852769230769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B-4E8B-B35C-C02E803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7472"/>
        <c:axId val="81461632"/>
      </c:scatterChart>
      <c:valAx>
        <c:axId val="80677120"/>
        <c:scaling>
          <c:orientation val="minMax"/>
          <c:max val="45"/>
          <c:min val="0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015936"/>
        <c:crosses val="autoZero"/>
        <c:crossBetween val="midCat"/>
      </c:valAx>
      <c:valAx>
        <c:axId val="81015936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0677120"/>
        <c:crosses val="autoZero"/>
        <c:crossBetween val="midCat"/>
      </c:valAx>
      <c:valAx>
        <c:axId val="8101747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81461632"/>
        <c:crosses val="autoZero"/>
        <c:crossBetween val="midCat"/>
      </c:valAx>
      <c:valAx>
        <c:axId val="81461632"/>
        <c:scaling>
          <c:orientation val="minMax"/>
          <c:max val="1100"/>
          <c:min val="0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017472"/>
        <c:crosses val="max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332" r="0.7500000000000133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06618166920113E-2"/>
          <c:y val="7.2638124535508358E-2"/>
          <c:w val="0.85430532639283563"/>
          <c:h val="0.86399661092337898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3.6960000000000002</c:v>
                </c:pt>
                <c:pt idx="9">
                  <c:v>4.0359999999999996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4.9390000000000001</c:v>
                </c:pt>
                <c:pt idx="20">
                  <c:v>4.9729999999999999</c:v>
                </c:pt>
                <c:pt idx="21">
                  <c:v>4.9939999999999998</c:v>
                </c:pt>
                <c:pt idx="22">
                  <c:v>5.0114999999999998</c:v>
                </c:pt>
                <c:pt idx="23">
                  <c:v>5.0298999999999996</c:v>
                </c:pt>
                <c:pt idx="24">
                  <c:v>5.0419999999999998</c:v>
                </c:pt>
                <c:pt idx="25">
                  <c:v>5.0735000000000001</c:v>
                </c:pt>
                <c:pt idx="26">
                  <c:v>5.0884999999999998</c:v>
                </c:pt>
                <c:pt idx="27">
                  <c:v>5.109</c:v>
                </c:pt>
                <c:pt idx="28">
                  <c:v>5.1159999999999997</c:v>
                </c:pt>
                <c:pt idx="29">
                  <c:v>5.1280000000000001</c:v>
                </c:pt>
                <c:pt idx="30">
                  <c:v>5.1459999999999999</c:v>
                </c:pt>
                <c:pt idx="31">
                  <c:v>5.1669999999999998</c:v>
                </c:pt>
                <c:pt idx="32">
                  <c:v>5.181</c:v>
                </c:pt>
                <c:pt idx="33">
                  <c:v>5.1959999999999997</c:v>
                </c:pt>
                <c:pt idx="34">
                  <c:v>5.2065000000000001</c:v>
                </c:pt>
                <c:pt idx="35">
                  <c:v>5.22</c:v>
                </c:pt>
                <c:pt idx="36">
                  <c:v>5.2460000000000004</c:v>
                </c:pt>
                <c:pt idx="37">
                  <c:v>5.2626999999999997</c:v>
                </c:pt>
                <c:pt idx="38">
                  <c:v>5.2690000000000001</c:v>
                </c:pt>
                <c:pt idx="39">
                  <c:v>5.2880000000000003</c:v>
                </c:pt>
                <c:pt idx="40">
                  <c:v>5.3055000000000003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5.383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5.4574999999999996</c:v>
                </c:pt>
                <c:pt idx="51">
                  <c:v>5.46</c:v>
                </c:pt>
                <c:pt idx="52">
                  <c:v>5.4725000000000001</c:v>
                </c:pt>
                <c:pt idx="53">
                  <c:v>5.4931999999999999</c:v>
                </c:pt>
                <c:pt idx="54">
                  <c:v>5.5217999999999998</c:v>
                </c:pt>
                <c:pt idx="55">
                  <c:v>5.5444000000000004</c:v>
                </c:pt>
                <c:pt idx="56">
                  <c:v>5.5658000000000003</c:v>
                </c:pt>
                <c:pt idx="57">
                  <c:v>5.5750999999999999</c:v>
                </c:pt>
                <c:pt idx="58">
                  <c:v>5.5774999999999997</c:v>
                </c:pt>
                <c:pt idx="59">
                  <c:v>5.5807000000000002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84-8C2E-605932B897F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 w="6350">
                <a:solidFill>
                  <a:schemeClr val="tx1"/>
                </a:solidFill>
              </a:ln>
            </c:spPr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3.6986822000000004</c:v>
                </c:pt>
                <c:pt idx="9">
                  <c:v>4.0369643999999996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4.9398417999999999</c:v>
                </c:pt>
                <c:pt idx="20">
                  <c:v>4.9707153999999996</c:v>
                </c:pt>
                <c:pt idx="21">
                  <c:v>4.9943246000000006</c:v>
                </c:pt>
                <c:pt idx="22">
                  <c:v>5.0101107000000003</c:v>
                </c:pt>
                <c:pt idx="23">
                  <c:v>5.0302971999999997</c:v>
                </c:pt>
                <c:pt idx="24">
                  <c:v>5.0434988000000001</c:v>
                </c:pt>
                <c:pt idx="25">
                  <c:v>5.0715085999999996</c:v>
                </c:pt>
                <c:pt idx="26">
                  <c:v>5.0854063000000007</c:v>
                </c:pt>
                <c:pt idx="27">
                  <c:v>5.1051760999999996</c:v>
                </c:pt>
                <c:pt idx="28">
                  <c:v>5.1158631000000003</c:v>
                </c:pt>
                <c:pt idx="29">
                  <c:v>5.1292742999999996</c:v>
                </c:pt>
                <c:pt idx="30">
                  <c:v>5.1455223000000005</c:v>
                </c:pt>
                <c:pt idx="31">
                  <c:v>5.1647578999999997</c:v>
                </c:pt>
                <c:pt idx="32">
                  <c:v>5.1786869000000006</c:v>
                </c:pt>
                <c:pt idx="33">
                  <c:v>5.1940249999999999</c:v>
                </c:pt>
                <c:pt idx="34">
                  <c:v>5.211208000000001</c:v>
                </c:pt>
                <c:pt idx="35">
                  <c:v>5.2187517999999997</c:v>
                </c:pt>
                <c:pt idx="36">
                  <c:v>5.2480886000000009</c:v>
                </c:pt>
                <c:pt idx="37">
                  <c:v>5.2591248999999998</c:v>
                </c:pt>
                <c:pt idx="38">
                  <c:v>5.2723962999999996</c:v>
                </c:pt>
                <c:pt idx="39">
                  <c:v>5.287903</c:v>
                </c:pt>
                <c:pt idx="40">
                  <c:v>5.3040383000000002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5.3808730000000002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5.4572187000000003</c:v>
                </c:pt>
                <c:pt idx="51">
                  <c:v>5.4589648999999998</c:v>
                </c:pt>
                <c:pt idx="52">
                  <c:v>5.4759384000000004</c:v>
                </c:pt>
                <c:pt idx="53">
                  <c:v>5.4901178999999996</c:v>
                </c:pt>
                <c:pt idx="54">
                  <c:v>5.5004556999999998</c:v>
                </c:pt>
                <c:pt idx="55">
                  <c:v>5.5297925999999995</c:v>
                </c:pt>
                <c:pt idx="56">
                  <c:v>5.5771506999999998</c:v>
                </c:pt>
                <c:pt idx="57">
                  <c:v>5.5818306</c:v>
                </c:pt>
                <c:pt idx="58">
                  <c:v>5.5872089999999996</c:v>
                </c:pt>
                <c:pt idx="59">
                  <c:v>5.5884663000000003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056"/>
        <c:axId val="88062592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1001.4508615384616</c:v>
                </c:pt>
                <c:pt idx="1">
                  <c:v>999.98693846153856</c:v>
                </c:pt>
                <c:pt idx="2">
                  <c:v>100227969230.76923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1003.3022923076923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1002.6671999999999</c:v>
                </c:pt>
                <c:pt idx="37">
                  <c:v>1004.1418923076923</c:v>
                </c:pt>
                <c:pt idx="38">
                  <c:v>1002.5487999999999</c:v>
                </c:pt>
                <c:pt idx="39">
                  <c:v>1002.3012307692308</c:v>
                </c:pt>
                <c:pt idx="40">
                  <c:v>1002.1828153846153</c:v>
                </c:pt>
                <c:pt idx="41">
                  <c:v>1002.6671999999999</c:v>
                </c:pt>
                <c:pt idx="42">
                  <c:v>1002.3442769230769</c:v>
                </c:pt>
                <c:pt idx="43">
                  <c:v>1004.6047538461538</c:v>
                </c:pt>
                <c:pt idx="44">
                  <c:v>1002.8717230769231</c:v>
                </c:pt>
                <c:pt idx="45">
                  <c:v>1002.1612923076923</c:v>
                </c:pt>
                <c:pt idx="46">
                  <c:v>1003.4314615384613</c:v>
                </c:pt>
                <c:pt idx="47">
                  <c:v>1003.1731230769232</c:v>
                </c:pt>
                <c:pt idx="48">
                  <c:v>1003.3453384615385</c:v>
                </c:pt>
                <c:pt idx="49">
                  <c:v>1003.7543846153847</c:v>
                </c:pt>
                <c:pt idx="50">
                  <c:v>1003.0547076923077</c:v>
                </c:pt>
                <c:pt idx="51">
                  <c:v>1002.2581692307692</c:v>
                </c:pt>
                <c:pt idx="52">
                  <c:v>1001.9783076923077</c:v>
                </c:pt>
                <c:pt idx="53">
                  <c:v>1004.3356461538461</c:v>
                </c:pt>
                <c:pt idx="54">
                  <c:v>1001.4078000000001</c:v>
                </c:pt>
                <c:pt idx="55">
                  <c:v>1000.5682</c:v>
                </c:pt>
                <c:pt idx="56">
                  <c:v>1001.7737846153847</c:v>
                </c:pt>
                <c:pt idx="57">
                  <c:v>1002.2581692307692</c:v>
                </c:pt>
                <c:pt idx="58">
                  <c:v>1001.7092000000001</c:v>
                </c:pt>
                <c:pt idx="59">
                  <c:v>1003.4852769230769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1408"/>
        <c:axId val="89919872"/>
      </c:scatterChart>
      <c:valAx>
        <c:axId val="88061056"/>
        <c:scaling>
          <c:orientation val="minMax"/>
          <c:max val="43.5"/>
          <c:min val="37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062592"/>
        <c:crosses val="autoZero"/>
        <c:crossBetween val="midCat"/>
        <c:majorUnit val="1"/>
      </c:valAx>
      <c:valAx>
        <c:axId val="88062592"/>
        <c:scaling>
          <c:orientation val="minMax"/>
          <c:max val="4.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061056"/>
        <c:crosses val="autoZero"/>
        <c:crossBetween val="midCat"/>
        <c:majorUnit val="1"/>
      </c:valAx>
      <c:valAx>
        <c:axId val="89919872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89921408"/>
        <c:crosses val="max"/>
        <c:crossBetween val="midCat"/>
      </c:valAx>
      <c:valAx>
        <c:axId val="8992140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8991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332" r="0.75000000000001332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29959787846806E-2"/>
          <c:y val="8.8755662450334463E-2"/>
          <c:w val="0.85430532639283563"/>
          <c:h val="0.86399661092337943"/>
        </c:manualLayout>
      </c:layout>
      <c:scatterChart>
        <c:scatterStyle val="lineMarker"/>
        <c:varyColors val="0"/>
        <c:ser>
          <c:idx val="1"/>
          <c:order val="1"/>
          <c:tx>
            <c:v>I'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kW'!$L$11:$L$70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3.6960000000000002</c:v>
                </c:pt>
                <c:pt idx="9">
                  <c:v>4.0359999999999996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4.9390000000000001</c:v>
                </c:pt>
                <c:pt idx="20">
                  <c:v>4.9729999999999999</c:v>
                </c:pt>
                <c:pt idx="21">
                  <c:v>4.9939999999999998</c:v>
                </c:pt>
                <c:pt idx="22">
                  <c:v>5.0114999999999998</c:v>
                </c:pt>
                <c:pt idx="23">
                  <c:v>5.0298999999999996</c:v>
                </c:pt>
                <c:pt idx="24">
                  <c:v>5.0419999999999998</c:v>
                </c:pt>
                <c:pt idx="25">
                  <c:v>5.0735000000000001</c:v>
                </c:pt>
                <c:pt idx="26">
                  <c:v>5.0884999999999998</c:v>
                </c:pt>
                <c:pt idx="27">
                  <c:v>5.109</c:v>
                </c:pt>
                <c:pt idx="28">
                  <c:v>5.1159999999999997</c:v>
                </c:pt>
                <c:pt idx="29">
                  <c:v>5.1280000000000001</c:v>
                </c:pt>
                <c:pt idx="30">
                  <c:v>5.1459999999999999</c:v>
                </c:pt>
                <c:pt idx="31">
                  <c:v>5.1669999999999998</c:v>
                </c:pt>
                <c:pt idx="32">
                  <c:v>5.181</c:v>
                </c:pt>
                <c:pt idx="33">
                  <c:v>5.1959999999999997</c:v>
                </c:pt>
                <c:pt idx="34">
                  <c:v>5.2065000000000001</c:v>
                </c:pt>
                <c:pt idx="35">
                  <c:v>5.22</c:v>
                </c:pt>
                <c:pt idx="36">
                  <c:v>5.2460000000000004</c:v>
                </c:pt>
                <c:pt idx="37">
                  <c:v>5.2626999999999997</c:v>
                </c:pt>
                <c:pt idx="38">
                  <c:v>5.2690000000000001</c:v>
                </c:pt>
                <c:pt idx="39">
                  <c:v>5.2880000000000003</c:v>
                </c:pt>
                <c:pt idx="40">
                  <c:v>5.3055000000000003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5.383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5.4574999999999996</c:v>
                </c:pt>
                <c:pt idx="51">
                  <c:v>5.46</c:v>
                </c:pt>
                <c:pt idx="52">
                  <c:v>5.4725000000000001</c:v>
                </c:pt>
                <c:pt idx="53">
                  <c:v>5.4931999999999999</c:v>
                </c:pt>
                <c:pt idx="54">
                  <c:v>5.5217999999999998</c:v>
                </c:pt>
                <c:pt idx="55">
                  <c:v>5.5444000000000004</c:v>
                </c:pt>
                <c:pt idx="56">
                  <c:v>5.5658000000000003</c:v>
                </c:pt>
                <c:pt idx="57">
                  <c:v>5.5750999999999999</c:v>
                </c:pt>
                <c:pt idx="58">
                  <c:v>5.5774999999999997</c:v>
                </c:pt>
                <c:pt idx="59">
                  <c:v>5.5807000000000002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A84-8C2E-605932B897F0}"/>
            </c:ext>
          </c:extLst>
        </c:ser>
        <c:ser>
          <c:idx val="2"/>
          <c:order val="2"/>
          <c:spPr>
            <a:ln w="9525"/>
          </c:spPr>
          <c:marker>
            <c:symbol val="x"/>
            <c:size val="5"/>
            <c:spPr>
              <a:ln w="6350">
                <a:solidFill>
                  <a:schemeClr val="tx1"/>
                </a:solidFill>
              </a:ln>
            </c:spPr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kW'!$G$11:$G$70</c:f>
              <c:numCache>
                <c:formatCode>0.0000</c:formatCode>
                <c:ptCount val="60"/>
                <c:pt idx="0">
                  <c:v>3.8417000000000004E-3</c:v>
                </c:pt>
                <c:pt idx="1">
                  <c:v>0.36112299999999997</c:v>
                </c:pt>
                <c:pt idx="2">
                  <c:v>1.0513778999999999</c:v>
                </c:pt>
                <c:pt idx="3">
                  <c:v>1.6930873</c:v>
                </c:pt>
                <c:pt idx="4">
                  <c:v>2.1446657</c:v>
                </c:pt>
                <c:pt idx="5">
                  <c:v>2.7016474000000001</c:v>
                </c:pt>
                <c:pt idx="6">
                  <c:v>2.9336183</c:v>
                </c:pt>
                <c:pt idx="7">
                  <c:v>3.4464549</c:v>
                </c:pt>
                <c:pt idx="8">
                  <c:v>3.6986822000000004</c:v>
                </c:pt>
                <c:pt idx="9">
                  <c:v>4.0369643999999996</c:v>
                </c:pt>
                <c:pt idx="10">
                  <c:v>4.2212978000000003</c:v>
                </c:pt>
                <c:pt idx="11">
                  <c:v>4.4782748999999997</c:v>
                </c:pt>
                <c:pt idx="12">
                  <c:v>4.5702670000000003</c:v>
                </c:pt>
                <c:pt idx="13">
                  <c:v>4.6231432000000003</c:v>
                </c:pt>
                <c:pt idx="14">
                  <c:v>4.6779054000000002</c:v>
                </c:pt>
                <c:pt idx="15">
                  <c:v>4.7195358000000001</c:v>
                </c:pt>
                <c:pt idx="16">
                  <c:v>4.7729708999999998</c:v>
                </c:pt>
                <c:pt idx="17">
                  <c:v>4.8247993999999998</c:v>
                </c:pt>
                <c:pt idx="18">
                  <c:v>4.8770468999999999</c:v>
                </c:pt>
                <c:pt idx="19">
                  <c:v>4.9398417999999999</c:v>
                </c:pt>
                <c:pt idx="20">
                  <c:v>4.9707153999999996</c:v>
                </c:pt>
                <c:pt idx="21">
                  <c:v>4.9943246000000006</c:v>
                </c:pt>
                <c:pt idx="22">
                  <c:v>5.0101107000000003</c:v>
                </c:pt>
                <c:pt idx="23">
                  <c:v>5.0302971999999997</c:v>
                </c:pt>
                <c:pt idx="24">
                  <c:v>5.0434988000000001</c:v>
                </c:pt>
                <c:pt idx="25">
                  <c:v>5.0715085999999996</c:v>
                </c:pt>
                <c:pt idx="26">
                  <c:v>5.0854063000000007</c:v>
                </c:pt>
                <c:pt idx="27">
                  <c:v>5.1051760999999996</c:v>
                </c:pt>
                <c:pt idx="28">
                  <c:v>5.1158631000000003</c:v>
                </c:pt>
                <c:pt idx="29">
                  <c:v>5.1292742999999996</c:v>
                </c:pt>
                <c:pt idx="30">
                  <c:v>5.1455223000000005</c:v>
                </c:pt>
                <c:pt idx="31">
                  <c:v>5.1647578999999997</c:v>
                </c:pt>
                <c:pt idx="32">
                  <c:v>5.1786869000000006</c:v>
                </c:pt>
                <c:pt idx="33">
                  <c:v>5.1940249999999999</c:v>
                </c:pt>
                <c:pt idx="34">
                  <c:v>5.211208000000001</c:v>
                </c:pt>
                <c:pt idx="35">
                  <c:v>5.2187517999999997</c:v>
                </c:pt>
                <c:pt idx="36">
                  <c:v>5.2480886000000009</c:v>
                </c:pt>
                <c:pt idx="37">
                  <c:v>5.2591248999999998</c:v>
                </c:pt>
                <c:pt idx="38">
                  <c:v>5.2723962999999996</c:v>
                </c:pt>
                <c:pt idx="39">
                  <c:v>5.287903</c:v>
                </c:pt>
                <c:pt idx="40">
                  <c:v>5.3040383000000002</c:v>
                </c:pt>
                <c:pt idx="41">
                  <c:v>5.3150047000000002</c:v>
                </c:pt>
                <c:pt idx="42">
                  <c:v>5.3429446</c:v>
                </c:pt>
                <c:pt idx="43">
                  <c:v>5.3636899000000007</c:v>
                </c:pt>
                <c:pt idx="44">
                  <c:v>5.3808730000000002</c:v>
                </c:pt>
                <c:pt idx="45">
                  <c:v>5.3958905999999995</c:v>
                </c:pt>
                <c:pt idx="46">
                  <c:v>5.4102797000000002</c:v>
                </c:pt>
                <c:pt idx="47">
                  <c:v>5.4246687000000007</c:v>
                </c:pt>
                <c:pt idx="48">
                  <c:v>5.4410834000000001</c:v>
                </c:pt>
                <c:pt idx="49">
                  <c:v>5.4522594</c:v>
                </c:pt>
                <c:pt idx="50">
                  <c:v>5.4572187000000003</c:v>
                </c:pt>
                <c:pt idx="51">
                  <c:v>5.4589648999999998</c:v>
                </c:pt>
                <c:pt idx="52">
                  <c:v>5.4759384000000004</c:v>
                </c:pt>
                <c:pt idx="53">
                  <c:v>5.4901178999999996</c:v>
                </c:pt>
                <c:pt idx="54">
                  <c:v>5.5004556999999998</c:v>
                </c:pt>
                <c:pt idx="55">
                  <c:v>5.5297925999999995</c:v>
                </c:pt>
                <c:pt idx="56">
                  <c:v>5.5771506999999998</c:v>
                </c:pt>
                <c:pt idx="57">
                  <c:v>5.5818306</c:v>
                </c:pt>
                <c:pt idx="58">
                  <c:v>5.5872089999999996</c:v>
                </c:pt>
                <c:pt idx="59">
                  <c:v>5.5884663000000003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2992"/>
        <c:axId val="116431488"/>
      </c:scatterChar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>
              <a:solidFill>
                <a:srgbClr val="1919ED"/>
              </a:solidFill>
            </a:ln>
          </c:spPr>
          <c:marker>
            <c:symbol val="none"/>
          </c:marker>
          <c:xVal>
            <c:numRef>
              <c:f>'1 kW'!$F$11:$F$70</c:f>
              <c:numCache>
                <c:formatCode>0.000</c:formatCode>
                <c:ptCount val="60"/>
                <c:pt idx="0">
                  <c:v>43.057929999999999</c:v>
                </c:pt>
                <c:pt idx="1">
                  <c:v>42.795966</c:v>
                </c:pt>
                <c:pt idx="2">
                  <c:v>42.270586000000002</c:v>
                </c:pt>
                <c:pt idx="3">
                  <c:v>41.743755</c:v>
                </c:pt>
                <c:pt idx="4">
                  <c:v>41.315613999999997</c:v>
                </c:pt>
                <c:pt idx="5">
                  <c:v>40.715491</c:v>
                </c:pt>
                <c:pt idx="6">
                  <c:v>40.438287000000003</c:v>
                </c:pt>
                <c:pt idx="7">
                  <c:v>39.743102</c:v>
                </c:pt>
                <c:pt idx="8">
                  <c:v>39.348342000000002</c:v>
                </c:pt>
                <c:pt idx="9">
                  <c:v>38.743865</c:v>
                </c:pt>
                <c:pt idx="10">
                  <c:v>38.353458000000003</c:v>
                </c:pt>
                <c:pt idx="11">
                  <c:v>37.715600000000002</c:v>
                </c:pt>
                <c:pt idx="12">
                  <c:v>37.461618000000001</c:v>
                </c:pt>
                <c:pt idx="13">
                  <c:v>37.29907</c:v>
                </c:pt>
                <c:pt idx="14">
                  <c:v>37.126362</c:v>
                </c:pt>
                <c:pt idx="15">
                  <c:v>36.984132000000002</c:v>
                </c:pt>
                <c:pt idx="16">
                  <c:v>36.799087999999998</c:v>
                </c:pt>
                <c:pt idx="17">
                  <c:v>36.602434000000002</c:v>
                </c:pt>
                <c:pt idx="18">
                  <c:v>36.393442999999998</c:v>
                </c:pt>
                <c:pt idx="19">
                  <c:v>36.124946999999999</c:v>
                </c:pt>
                <c:pt idx="20">
                  <c:v>35.966752999999997</c:v>
                </c:pt>
                <c:pt idx="21">
                  <c:v>35.862257999999997</c:v>
                </c:pt>
                <c:pt idx="22">
                  <c:v>35.771549999999998</c:v>
                </c:pt>
                <c:pt idx="23">
                  <c:v>35.671408</c:v>
                </c:pt>
                <c:pt idx="24">
                  <c:v>35.604647</c:v>
                </c:pt>
                <c:pt idx="25">
                  <c:v>35.426859999999998</c:v>
                </c:pt>
                <c:pt idx="26">
                  <c:v>35.336421000000001</c:v>
                </c:pt>
                <c:pt idx="27">
                  <c:v>35.203355999999999</c:v>
                </c:pt>
                <c:pt idx="28">
                  <c:v>35.157639000000003</c:v>
                </c:pt>
                <c:pt idx="29">
                  <c:v>35.079000000000001</c:v>
                </c:pt>
                <c:pt idx="30">
                  <c:v>34.956404999999997</c:v>
                </c:pt>
                <c:pt idx="31">
                  <c:v>34.810772</c:v>
                </c:pt>
                <c:pt idx="32">
                  <c:v>34.709651000000001</c:v>
                </c:pt>
                <c:pt idx="33">
                  <c:v>34.596702000000001</c:v>
                </c:pt>
                <c:pt idx="34">
                  <c:v>34.513976</c:v>
                </c:pt>
                <c:pt idx="35">
                  <c:v>34.398595999999998</c:v>
                </c:pt>
                <c:pt idx="36">
                  <c:v>34.174365999999999</c:v>
                </c:pt>
                <c:pt idx="37">
                  <c:v>34.026330999999999</c:v>
                </c:pt>
                <c:pt idx="38">
                  <c:v>33.961747000000003</c:v>
                </c:pt>
                <c:pt idx="39">
                  <c:v>33.759287</c:v>
                </c:pt>
                <c:pt idx="40">
                  <c:v>33.561180999999998</c:v>
                </c:pt>
                <c:pt idx="41">
                  <c:v>33.445075000000003</c:v>
                </c:pt>
                <c:pt idx="42">
                  <c:v>33.079340999999999</c:v>
                </c:pt>
                <c:pt idx="43">
                  <c:v>32.754244</c:v>
                </c:pt>
                <c:pt idx="44">
                  <c:v>32.418261999999999</c:v>
                </c:pt>
                <c:pt idx="45">
                  <c:v>32.117111999999999</c:v>
                </c:pt>
                <c:pt idx="46">
                  <c:v>31.741944</c:v>
                </c:pt>
                <c:pt idx="47">
                  <c:v>31.349360000000001</c:v>
                </c:pt>
                <c:pt idx="48">
                  <c:v>30.526458999999999</c:v>
                </c:pt>
                <c:pt idx="49">
                  <c:v>29.299363</c:v>
                </c:pt>
                <c:pt idx="50">
                  <c:v>28.443080999999999</c:v>
                </c:pt>
                <c:pt idx="51">
                  <c:v>27.882142999999999</c:v>
                </c:pt>
                <c:pt idx="52">
                  <c:v>25.037545000000001</c:v>
                </c:pt>
                <c:pt idx="53">
                  <c:v>20.306222999999999</c:v>
                </c:pt>
                <c:pt idx="54">
                  <c:v>13.755665</c:v>
                </c:pt>
                <c:pt idx="55">
                  <c:v>8.5308919999999997</c:v>
                </c:pt>
                <c:pt idx="56">
                  <c:v>3.5499429999999998</c:v>
                </c:pt>
                <c:pt idx="57">
                  <c:v>1.3649720000000001</c:v>
                </c:pt>
                <c:pt idx="58">
                  <c:v>0.79024700000000003</c:v>
                </c:pt>
                <c:pt idx="59">
                  <c:v>1E-3</c:v>
                </c:pt>
              </c:numCache>
            </c:numRef>
          </c:xVal>
          <c:yVal>
            <c:numRef>
              <c:f>'1 kW'!$H$11:$H$70</c:f>
              <c:numCache>
                <c:formatCode>0.0</c:formatCode>
                <c:ptCount val="60"/>
                <c:pt idx="0">
                  <c:v>1001.4508615384616</c:v>
                </c:pt>
                <c:pt idx="1">
                  <c:v>999.98693846153856</c:v>
                </c:pt>
                <c:pt idx="2">
                  <c:v>100227969230.76923</c:v>
                </c:pt>
                <c:pt idx="3">
                  <c:v>1003.9481384615384</c:v>
                </c:pt>
                <c:pt idx="4">
                  <c:v>1003.6144461538462</c:v>
                </c:pt>
                <c:pt idx="5">
                  <c:v>1004.3571692307694</c:v>
                </c:pt>
                <c:pt idx="6">
                  <c:v>1003.5713846153845</c:v>
                </c:pt>
                <c:pt idx="7">
                  <c:v>1001.2355692307692</c:v>
                </c:pt>
                <c:pt idx="8">
                  <c:v>1004.744676923077</c:v>
                </c:pt>
                <c:pt idx="9">
                  <c:v>1003.2484615384615</c:v>
                </c:pt>
                <c:pt idx="10">
                  <c:v>1003.0116615384617</c:v>
                </c:pt>
                <c:pt idx="11">
                  <c:v>1002.6564461538462</c:v>
                </c:pt>
                <c:pt idx="12">
                  <c:v>1002.1505230769232</c:v>
                </c:pt>
                <c:pt idx="13">
                  <c:v>1003.3561076923078</c:v>
                </c:pt>
                <c:pt idx="14">
                  <c:v>1003.4960461538462</c:v>
                </c:pt>
                <c:pt idx="15">
                  <c:v>1002.5918615384617</c:v>
                </c:pt>
                <c:pt idx="16">
                  <c:v>1002.3227538461539</c:v>
                </c:pt>
                <c:pt idx="17">
                  <c:v>1004.970723076923</c:v>
                </c:pt>
                <c:pt idx="18">
                  <c:v>1003.9588923076923</c:v>
                </c:pt>
                <c:pt idx="19">
                  <c:v>1004.9169076923079</c:v>
                </c:pt>
                <c:pt idx="20">
                  <c:v>1003.3022923076923</c:v>
                </c:pt>
                <c:pt idx="21">
                  <c:v>1005.0245538461538</c:v>
                </c:pt>
                <c:pt idx="22">
                  <c:v>1002.3873384615384</c:v>
                </c:pt>
                <c:pt idx="23">
                  <c:v>1002.8071384615383</c:v>
                </c:pt>
                <c:pt idx="24">
                  <c:v>1003.3022923076923</c:v>
                </c:pt>
                <c:pt idx="25">
                  <c:v>1004.9922615384614</c:v>
                </c:pt>
                <c:pt idx="26">
                  <c:v>1003.9181230769231</c:v>
                </c:pt>
                <c:pt idx="27">
                  <c:v>1003.0439538461538</c:v>
                </c:pt>
                <c:pt idx="28">
                  <c:v>1001.7522615384617</c:v>
                </c:pt>
                <c:pt idx="29">
                  <c:v>1003.3668769230768</c:v>
                </c:pt>
                <c:pt idx="30">
                  <c:v>1003.1637538461538</c:v>
                </c:pt>
                <c:pt idx="31">
                  <c:v>1002.0536461538462</c:v>
                </c:pt>
                <c:pt idx="32">
                  <c:v>1001.5160923076922</c:v>
                </c:pt>
                <c:pt idx="33">
                  <c:v>1002.9255384615384</c:v>
                </c:pt>
                <c:pt idx="34">
                  <c:v>1002.3765692307692</c:v>
                </c:pt>
                <c:pt idx="35">
                  <c:v>1003.3776307692308</c:v>
                </c:pt>
                <c:pt idx="36">
                  <c:v>1002.6671999999999</c:v>
                </c:pt>
                <c:pt idx="37">
                  <c:v>1004.1418923076923</c:v>
                </c:pt>
                <c:pt idx="38">
                  <c:v>1002.5487999999999</c:v>
                </c:pt>
                <c:pt idx="39">
                  <c:v>1002.3012307692308</c:v>
                </c:pt>
                <c:pt idx="40">
                  <c:v>1002.1828153846153</c:v>
                </c:pt>
                <c:pt idx="41">
                  <c:v>1002.6671999999999</c:v>
                </c:pt>
                <c:pt idx="42">
                  <c:v>1002.3442769230769</c:v>
                </c:pt>
                <c:pt idx="43">
                  <c:v>1004.6047538461538</c:v>
                </c:pt>
                <c:pt idx="44">
                  <c:v>1002.8717230769231</c:v>
                </c:pt>
                <c:pt idx="45">
                  <c:v>1002.1612923076923</c:v>
                </c:pt>
                <c:pt idx="46">
                  <c:v>1003.4314615384613</c:v>
                </c:pt>
                <c:pt idx="47">
                  <c:v>1003.1731230769232</c:v>
                </c:pt>
                <c:pt idx="48">
                  <c:v>1003.3453384615385</c:v>
                </c:pt>
                <c:pt idx="49">
                  <c:v>1003.7543846153847</c:v>
                </c:pt>
                <c:pt idx="50">
                  <c:v>1003.0547076923077</c:v>
                </c:pt>
                <c:pt idx="51">
                  <c:v>1002.2581692307692</c:v>
                </c:pt>
                <c:pt idx="52">
                  <c:v>1001.9783076923077</c:v>
                </c:pt>
                <c:pt idx="53">
                  <c:v>1004.3356461538461</c:v>
                </c:pt>
                <c:pt idx="54">
                  <c:v>1001.4078000000001</c:v>
                </c:pt>
                <c:pt idx="55">
                  <c:v>1000.5682</c:v>
                </c:pt>
                <c:pt idx="56">
                  <c:v>1001.7737846153847</c:v>
                </c:pt>
                <c:pt idx="57">
                  <c:v>1002.2581692307692</c:v>
                </c:pt>
                <c:pt idx="58">
                  <c:v>1001.7092000000001</c:v>
                </c:pt>
                <c:pt idx="59">
                  <c:v>1003.4852769230769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6-4A84-8C2E-605932B8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5712"/>
        <c:axId val="46994176"/>
      </c:scatterChart>
      <c:valAx>
        <c:axId val="116372992"/>
        <c:scaling>
          <c:orientation val="minMax"/>
          <c:max val="38"/>
          <c:min val="32"/>
        </c:scaling>
        <c:delete val="0"/>
        <c:axPos val="b"/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6431488"/>
        <c:crosses val="autoZero"/>
        <c:crossBetween val="midCat"/>
      </c:valAx>
      <c:valAx>
        <c:axId val="116431488"/>
        <c:scaling>
          <c:orientation val="minMax"/>
          <c:max val="5.5"/>
          <c:min val="4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6372992"/>
        <c:crosses val="autoZero"/>
        <c:crossBetween val="midCat"/>
        <c:majorUnit val="0.2"/>
      </c:valAx>
      <c:valAx>
        <c:axId val="469941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46995712"/>
        <c:crosses val="max"/>
        <c:crossBetween val="midCat"/>
      </c:valAx>
      <c:valAx>
        <c:axId val="4699571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46994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354" r="0.75000000000001354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19516</xdr:colOff>
      <xdr:row>38</xdr:row>
      <xdr:rowOff>88446</xdr:rowOff>
    </xdr:from>
    <xdr:to>
      <xdr:col>25</xdr:col>
      <xdr:colOff>509213</xdr:colOff>
      <xdr:row>66</xdr:row>
      <xdr:rowOff>69396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486785</xdr:colOff>
      <xdr:row>9</xdr:row>
      <xdr:rowOff>5042</xdr:rowOff>
    </xdr:from>
    <xdr:to>
      <xdr:col>25</xdr:col>
      <xdr:colOff>498550</xdr:colOff>
      <xdr:row>32</xdr:row>
      <xdr:rowOff>20171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33338</xdr:colOff>
      <xdr:row>38</xdr:row>
      <xdr:rowOff>61912</xdr:rowOff>
    </xdr:from>
    <xdr:to>
      <xdr:col>41</xdr:col>
      <xdr:colOff>323010</xdr:colOff>
      <xdr:row>66</xdr:row>
      <xdr:rowOff>42862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</xdr:colOff>
      <xdr:row>38</xdr:row>
      <xdr:rowOff>76200</xdr:rowOff>
    </xdr:from>
    <xdr:to>
      <xdr:col>33</xdr:col>
      <xdr:colOff>303959</xdr:colOff>
      <xdr:row>66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/Documents/Universidad/TRABAJO%20FIN%20DE%20GRADO/Ensayos/M&#243;dulo%201%20(1-7-16)%20COMPLETADO/Tablas%20de%20c&#225;lculos%20M1_P2_modifi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kW"/>
      <sheetName val="0,75 kW"/>
      <sheetName val="0,5 kW"/>
      <sheetName val="0,25 kW"/>
      <sheetName val="Traslación a 1 kW"/>
      <sheetName val="Traslación a STC"/>
      <sheetName val="Tablas resumen"/>
      <sheetName val="n, Rs, Rp"/>
    </sheetNames>
    <sheetDataSet>
      <sheetData sheetId="0"/>
      <sheetData sheetId="1"/>
      <sheetData sheetId="2"/>
      <sheetData sheetId="3"/>
      <sheetData sheetId="4">
        <row r="11">
          <cell r="C11">
            <v>43.055019999999999</v>
          </cell>
          <cell r="E11">
            <v>1000.8351692307692</v>
          </cell>
          <cell r="H11">
            <v>43.500160000000001</v>
          </cell>
          <cell r="J11">
            <v>749.36218461538465</v>
          </cell>
          <cell r="M11">
            <v>42.625808999999997</v>
          </cell>
          <cell r="O11">
            <v>500.75467692307694</v>
          </cell>
          <cell r="R11">
            <v>42.300474999999999</v>
          </cell>
          <cell r="T11">
            <v>251.51226153846156</v>
          </cell>
        </row>
        <row r="12">
          <cell r="C12">
            <v>42.795966</v>
          </cell>
          <cell r="E12">
            <v>999.98693846153856</v>
          </cell>
          <cell r="H12">
            <v>43.200159999999997</v>
          </cell>
          <cell r="J12">
            <v>749.2151846153846</v>
          </cell>
          <cell r="M12">
            <v>42.203825000000002</v>
          </cell>
          <cell r="O12">
            <v>501.25287692307688</v>
          </cell>
          <cell r="R12">
            <v>41.433171000000002</v>
          </cell>
          <cell r="T12">
            <v>250.98703076923076</v>
          </cell>
        </row>
        <row r="13">
          <cell r="C13">
            <v>42.270586000000002</v>
          </cell>
          <cell r="E13">
            <v>1002.2796923076924</v>
          </cell>
          <cell r="H13">
            <v>42.507877999999998</v>
          </cell>
          <cell r="J13">
            <v>749.45200000000011</v>
          </cell>
          <cell r="M13">
            <v>41.746657999999996</v>
          </cell>
          <cell r="O13">
            <v>500.75772307692307</v>
          </cell>
          <cell r="R13">
            <v>40.439013000000003</v>
          </cell>
          <cell r="T13">
            <v>251.62212307692309</v>
          </cell>
        </row>
        <row r="14">
          <cell r="C14">
            <v>41.743755</v>
          </cell>
          <cell r="E14">
            <v>1003.9481384615384</v>
          </cell>
          <cell r="H14">
            <v>41.784391999999997</v>
          </cell>
          <cell r="J14">
            <v>750.01173846153847</v>
          </cell>
          <cell r="M14">
            <v>41.233614000000003</v>
          </cell>
          <cell r="O14">
            <v>501.70496923076917</v>
          </cell>
          <cell r="R14">
            <v>39.755439000000003</v>
          </cell>
          <cell r="T14">
            <v>253.1290923076923</v>
          </cell>
        </row>
        <row r="15">
          <cell r="C15">
            <v>41.315613999999997</v>
          </cell>
          <cell r="E15">
            <v>1003.6144461538462</v>
          </cell>
          <cell r="H15">
            <v>41.369312999999998</v>
          </cell>
          <cell r="J15">
            <v>751.34647692307692</v>
          </cell>
          <cell r="M15">
            <v>40.759756000000003</v>
          </cell>
          <cell r="O15">
            <v>503.52410769230767</v>
          </cell>
          <cell r="R15">
            <v>39.246023000000001</v>
          </cell>
          <cell r="T15">
            <v>253.61347692307692</v>
          </cell>
        </row>
        <row r="16">
          <cell r="C16">
            <v>40.715491</v>
          </cell>
          <cell r="E16">
            <v>1004.3571692307694</v>
          </cell>
          <cell r="H16">
            <v>40.757579</v>
          </cell>
          <cell r="J16">
            <v>750.25930769230763</v>
          </cell>
          <cell r="M16">
            <v>40.271385000000002</v>
          </cell>
          <cell r="O16">
            <v>504.11612307692303</v>
          </cell>
          <cell r="R16">
            <v>38.722819999999999</v>
          </cell>
          <cell r="T16">
            <v>254.02252307692308</v>
          </cell>
        </row>
        <row r="17">
          <cell r="C17">
            <v>40.438287000000003</v>
          </cell>
          <cell r="E17">
            <v>1003.5713846153845</v>
          </cell>
          <cell r="H17">
            <v>40.280093000000001</v>
          </cell>
          <cell r="J17">
            <v>749.68881538461528</v>
          </cell>
          <cell r="M17">
            <v>39.753987000000002</v>
          </cell>
          <cell r="O17">
            <v>504.6650923076923</v>
          </cell>
          <cell r="R17">
            <v>38.208326</v>
          </cell>
          <cell r="T17">
            <v>254.56072307692307</v>
          </cell>
        </row>
        <row r="18">
          <cell r="C18">
            <v>39.743102</v>
          </cell>
          <cell r="E18">
            <v>1001.2355692307692</v>
          </cell>
          <cell r="H18">
            <v>39.781562999999998</v>
          </cell>
          <cell r="J18">
            <v>751.54023076923079</v>
          </cell>
          <cell r="M18">
            <v>39.234413000000004</v>
          </cell>
          <cell r="O18">
            <v>506.47347692307687</v>
          </cell>
          <cell r="R18">
            <v>37.829529999999998</v>
          </cell>
          <cell r="T18">
            <v>254.77599999999998</v>
          </cell>
        </row>
        <row r="19">
          <cell r="C19">
            <v>39.348342000000002</v>
          </cell>
          <cell r="E19">
            <v>1004.744676923077</v>
          </cell>
          <cell r="H19">
            <v>39.370111999999999</v>
          </cell>
          <cell r="J19">
            <v>751.26036923076924</v>
          </cell>
          <cell r="M19">
            <v>38.756926999999997</v>
          </cell>
          <cell r="O19">
            <v>506.710276923077</v>
          </cell>
          <cell r="R19">
            <v>37.462344000000002</v>
          </cell>
          <cell r="T19">
            <v>254.3884923076923</v>
          </cell>
        </row>
        <row r="20">
          <cell r="C20">
            <v>38.743865</v>
          </cell>
          <cell r="E20">
            <v>1003.2484615384615</v>
          </cell>
          <cell r="H20">
            <v>38.841104000000001</v>
          </cell>
          <cell r="J20">
            <v>750.35618461538468</v>
          </cell>
          <cell r="M20">
            <v>38.308467</v>
          </cell>
          <cell r="O20">
            <v>506.95786153846154</v>
          </cell>
          <cell r="R20">
            <v>37.222875000000002</v>
          </cell>
          <cell r="T20">
            <v>254.89441538461537</v>
          </cell>
        </row>
        <row r="21">
          <cell r="C21">
            <v>38.353458000000003</v>
          </cell>
          <cell r="E21">
            <v>1003.0116615384617</v>
          </cell>
          <cell r="H21">
            <v>38.637917999999999</v>
          </cell>
          <cell r="J21">
            <v>751.23884615384623</v>
          </cell>
          <cell r="M21">
            <v>37.94491</v>
          </cell>
          <cell r="O21">
            <v>505.73073846153846</v>
          </cell>
          <cell r="R21">
            <v>36.936964000000003</v>
          </cell>
          <cell r="T21">
            <v>254.85135384615384</v>
          </cell>
        </row>
        <row r="22">
          <cell r="C22">
            <v>37.715600000000002</v>
          </cell>
          <cell r="E22">
            <v>1002.6564461538462</v>
          </cell>
          <cell r="H22">
            <v>38.353458000000003</v>
          </cell>
          <cell r="J22">
            <v>751.77704615384619</v>
          </cell>
          <cell r="M22">
            <v>37.537813</v>
          </cell>
          <cell r="O22">
            <v>507.10855384615388</v>
          </cell>
          <cell r="R22">
            <v>36.767158999999999</v>
          </cell>
          <cell r="T22">
            <v>255.06663076923076</v>
          </cell>
        </row>
        <row r="23">
          <cell r="C23">
            <v>37.461618000000001</v>
          </cell>
          <cell r="E23">
            <v>1002.1505230769232</v>
          </cell>
          <cell r="H23">
            <v>38.071900999999997</v>
          </cell>
          <cell r="J23">
            <v>752.04615384615386</v>
          </cell>
          <cell r="M23">
            <v>37.099513000000002</v>
          </cell>
          <cell r="O23">
            <v>507.34536923076922</v>
          </cell>
          <cell r="R23">
            <v>36.658208000000002</v>
          </cell>
          <cell r="T23">
            <v>255.11472307692304</v>
          </cell>
        </row>
        <row r="24">
          <cell r="C24">
            <v>37.29907</v>
          </cell>
          <cell r="E24">
            <v>1003.3561076923078</v>
          </cell>
          <cell r="H24">
            <v>37.905104999999999</v>
          </cell>
          <cell r="J24">
            <v>751.75509230769228</v>
          </cell>
          <cell r="M24">
            <v>36.927531000000002</v>
          </cell>
          <cell r="O24">
            <v>507.74363076923083</v>
          </cell>
          <cell r="R24">
            <v>36.550185999999997</v>
          </cell>
          <cell r="T24">
            <v>254.82983076923074</v>
          </cell>
        </row>
        <row r="25">
          <cell r="C25">
            <v>37.126362</v>
          </cell>
          <cell r="E25">
            <v>1003.4960461538462</v>
          </cell>
          <cell r="H25">
            <v>37.720159000000002</v>
          </cell>
          <cell r="J25">
            <v>751.84856923076927</v>
          </cell>
          <cell r="M25">
            <v>36.852786999999999</v>
          </cell>
          <cell r="O25">
            <v>506.95786153846154</v>
          </cell>
          <cell r="R25">
            <v>36.426822999999999</v>
          </cell>
          <cell r="T25">
            <v>255.15275384615384</v>
          </cell>
        </row>
        <row r="26">
          <cell r="C26">
            <v>36.984132000000002</v>
          </cell>
          <cell r="E26">
            <v>1002.5918615384617</v>
          </cell>
          <cell r="H26">
            <v>37.582078000000003</v>
          </cell>
          <cell r="J26">
            <v>752.07844615384613</v>
          </cell>
          <cell r="M26">
            <v>36.700398</v>
          </cell>
          <cell r="O26">
            <v>507.39918461538463</v>
          </cell>
          <cell r="R26">
            <v>36.320151000000003</v>
          </cell>
          <cell r="T26">
            <v>254.68989230769233</v>
          </cell>
        </row>
        <row r="27">
          <cell r="C27">
            <v>36.799087999999998</v>
          </cell>
          <cell r="E27">
            <v>1002.3227538461539</v>
          </cell>
          <cell r="H27">
            <v>37.469600999999997</v>
          </cell>
          <cell r="J27">
            <v>752.04615384615386</v>
          </cell>
          <cell r="M27">
            <v>36.599530999999999</v>
          </cell>
          <cell r="O27">
            <v>507.63599999999997</v>
          </cell>
          <cell r="R27">
            <v>36.285319000000001</v>
          </cell>
          <cell r="T27">
            <v>254.89441538461537</v>
          </cell>
        </row>
        <row r="28">
          <cell r="C28">
            <v>36.602434000000002</v>
          </cell>
          <cell r="E28">
            <v>1004.970723076923</v>
          </cell>
          <cell r="H28">
            <v>37.162644999999998</v>
          </cell>
          <cell r="J28">
            <v>751.90621538461539</v>
          </cell>
          <cell r="M28">
            <v>36.570504</v>
          </cell>
          <cell r="O28">
            <v>506.66723076923068</v>
          </cell>
          <cell r="R28">
            <v>36.182274999999997</v>
          </cell>
          <cell r="T28">
            <v>255.18504615384612</v>
          </cell>
        </row>
        <row r="29">
          <cell r="C29">
            <v>36.393442999999998</v>
          </cell>
          <cell r="E29">
            <v>1003.9588923076923</v>
          </cell>
          <cell r="H29">
            <v>37.010981999999998</v>
          </cell>
          <cell r="J29">
            <v>752.22913846153847</v>
          </cell>
          <cell r="M29">
            <v>36.483424999999997</v>
          </cell>
          <cell r="O29">
            <v>506.33353846153847</v>
          </cell>
          <cell r="R29">
            <v>36.097372</v>
          </cell>
          <cell r="T29">
            <v>255.46490769230772</v>
          </cell>
        </row>
        <row r="30">
          <cell r="C30">
            <v>36.124946999999999</v>
          </cell>
          <cell r="E30">
            <v>1004.9169076923079</v>
          </cell>
          <cell r="H30">
            <v>36.833193999999999</v>
          </cell>
          <cell r="J30">
            <v>751.97079999999994</v>
          </cell>
          <cell r="M30">
            <v>36.312894</v>
          </cell>
          <cell r="O30">
            <v>507.7974615384615</v>
          </cell>
          <cell r="R30">
            <v>35.966408000000001</v>
          </cell>
          <cell r="T30">
            <v>255.1915692307692</v>
          </cell>
        </row>
        <row r="31">
          <cell r="C31">
            <v>35.966752999999997</v>
          </cell>
          <cell r="E31">
            <v>1003.3022923076923</v>
          </cell>
          <cell r="H31">
            <v>36.654083999999997</v>
          </cell>
          <cell r="J31">
            <v>752.15576923076924</v>
          </cell>
          <cell r="M31">
            <v>36.203319</v>
          </cell>
          <cell r="O31">
            <v>507.7974615384615</v>
          </cell>
          <cell r="R31">
            <v>35.843389999999999</v>
          </cell>
          <cell r="T31">
            <v>254.75447692307694</v>
          </cell>
        </row>
        <row r="32">
          <cell r="C32">
            <v>35.862257999999997</v>
          </cell>
          <cell r="E32">
            <v>1005.0245538461538</v>
          </cell>
          <cell r="H32">
            <v>36.416663999999997</v>
          </cell>
          <cell r="J32">
            <v>751.49718461538464</v>
          </cell>
          <cell r="M32">
            <v>36.089390000000002</v>
          </cell>
          <cell r="O32">
            <v>507.30230769230769</v>
          </cell>
          <cell r="R32">
            <v>35.761389999999999</v>
          </cell>
          <cell r="T32">
            <v>255.2926769230769</v>
          </cell>
        </row>
        <row r="33">
          <cell r="C33">
            <v>35.771549999999998</v>
          </cell>
          <cell r="E33">
            <v>1002.3873384615384</v>
          </cell>
          <cell r="H33">
            <v>36.323779000000002</v>
          </cell>
          <cell r="J33">
            <v>751.75552307692317</v>
          </cell>
          <cell r="M33">
            <v>35.915230999999999</v>
          </cell>
          <cell r="O33">
            <v>507.63599999999997</v>
          </cell>
          <cell r="R33">
            <v>35.641655999999998</v>
          </cell>
          <cell r="T33">
            <v>255.77706153846157</v>
          </cell>
        </row>
        <row r="34">
          <cell r="C34">
            <v>35.671408</v>
          </cell>
          <cell r="E34">
            <v>1002.8071384615383</v>
          </cell>
          <cell r="H34">
            <v>36.124946999999999</v>
          </cell>
          <cell r="J34">
            <v>751.87392307692312</v>
          </cell>
          <cell r="M34">
            <v>35.811461000000001</v>
          </cell>
          <cell r="O34">
            <v>507.08703076923075</v>
          </cell>
          <cell r="R34">
            <v>35.584328999999997</v>
          </cell>
          <cell r="T34">
            <v>255.40032307692309</v>
          </cell>
        </row>
        <row r="35">
          <cell r="C35">
            <v>35.554025000000003</v>
          </cell>
          <cell r="E35">
            <v>1003.9081230769232</v>
          </cell>
          <cell r="H35">
            <v>36.069071000000001</v>
          </cell>
          <cell r="J35">
            <v>752.61664615384609</v>
          </cell>
          <cell r="M35">
            <v>35.700434999999999</v>
          </cell>
          <cell r="O35">
            <v>507.76516923076917</v>
          </cell>
          <cell r="R35">
            <v>35.492894999999997</v>
          </cell>
          <cell r="T35">
            <v>255.50796923076922</v>
          </cell>
        </row>
        <row r="36">
          <cell r="C36">
            <v>35.426859999999998</v>
          </cell>
          <cell r="E36">
            <v>1004.9922615384614</v>
          </cell>
          <cell r="H36">
            <v>35.910876999999999</v>
          </cell>
          <cell r="J36">
            <v>752.76735384615392</v>
          </cell>
          <cell r="M36">
            <v>35.597391000000002</v>
          </cell>
          <cell r="O36">
            <v>506.91480000000001</v>
          </cell>
          <cell r="R36">
            <v>35.407266999999997</v>
          </cell>
          <cell r="T36">
            <v>255.49719999999999</v>
          </cell>
        </row>
        <row r="37">
          <cell r="C37">
            <v>35.336421000000001</v>
          </cell>
          <cell r="E37">
            <v>1003.9181230769231</v>
          </cell>
          <cell r="H37">
            <v>35.725833000000002</v>
          </cell>
          <cell r="J37">
            <v>752.26143076923086</v>
          </cell>
          <cell r="M37">
            <v>35.479107999999997</v>
          </cell>
          <cell r="O37">
            <v>507.48529230769236</v>
          </cell>
          <cell r="R37">
            <v>35.303184000000002</v>
          </cell>
          <cell r="T37">
            <v>255.91552307692305</v>
          </cell>
        </row>
        <row r="38">
          <cell r="C38">
            <v>35.203355999999999</v>
          </cell>
          <cell r="E38">
            <v>1003.0439538461538</v>
          </cell>
          <cell r="H38">
            <v>35.639479000000001</v>
          </cell>
          <cell r="J38">
            <v>752.04615384615386</v>
          </cell>
          <cell r="M38">
            <v>35.369548000000002</v>
          </cell>
          <cell r="O38">
            <v>506.81244615384617</v>
          </cell>
          <cell r="R38">
            <v>35.199727000000003</v>
          </cell>
          <cell r="T38">
            <v>256.13227692307697</v>
          </cell>
        </row>
        <row r="39">
          <cell r="C39">
            <v>35.157639000000003</v>
          </cell>
          <cell r="E39">
            <v>1001.7522615384617</v>
          </cell>
          <cell r="H39">
            <v>35.559655999999997</v>
          </cell>
          <cell r="J39">
            <v>751.69093846153851</v>
          </cell>
          <cell r="M39">
            <v>35.278824999999998</v>
          </cell>
          <cell r="O39">
            <v>506.83944615384627</v>
          </cell>
          <cell r="R39">
            <v>35.070559000000003</v>
          </cell>
          <cell r="T39">
            <v>256.00310769230771</v>
          </cell>
        </row>
        <row r="40">
          <cell r="C40">
            <v>35.079267000000002</v>
          </cell>
          <cell r="E40">
            <v>1003.3668769230768</v>
          </cell>
          <cell r="H40">
            <v>35.526276000000003</v>
          </cell>
          <cell r="J40">
            <v>752.17532307692295</v>
          </cell>
          <cell r="M40">
            <v>35.225850999999999</v>
          </cell>
          <cell r="O40">
            <v>507.05473846153842</v>
          </cell>
          <cell r="R40">
            <v>34.977305000000001</v>
          </cell>
          <cell r="T40">
            <v>255.45887692307687</v>
          </cell>
        </row>
        <row r="41">
          <cell r="C41">
            <v>34.956404999999997</v>
          </cell>
          <cell r="E41">
            <v>1003.1637538461538</v>
          </cell>
          <cell r="H41">
            <v>35.315407999999998</v>
          </cell>
          <cell r="J41">
            <v>752.00452307692296</v>
          </cell>
          <cell r="M41">
            <v>35.175055</v>
          </cell>
          <cell r="O41">
            <v>507.33459999999997</v>
          </cell>
          <cell r="R41">
            <v>34.881886999999999</v>
          </cell>
          <cell r="T41">
            <v>256.04616923076924</v>
          </cell>
        </row>
        <row r="42">
          <cell r="C42">
            <v>34.810772</v>
          </cell>
          <cell r="E42">
            <v>1002.0536461538462</v>
          </cell>
          <cell r="H42">
            <v>35.254151999999998</v>
          </cell>
          <cell r="J42">
            <v>752.7781076923078</v>
          </cell>
          <cell r="M42">
            <v>34.953085000000002</v>
          </cell>
          <cell r="O42">
            <v>506.32083076923089</v>
          </cell>
          <cell r="R42">
            <v>34.781247999999998</v>
          </cell>
          <cell r="T42">
            <v>256.33040000000005</v>
          </cell>
        </row>
        <row r="43">
          <cell r="C43">
            <v>34.709651000000001</v>
          </cell>
          <cell r="E43">
            <v>1001.5160923076922</v>
          </cell>
          <cell r="H43">
            <v>35.124056000000003</v>
          </cell>
          <cell r="J43">
            <v>752.27715384615385</v>
          </cell>
          <cell r="M43">
            <v>34.838085</v>
          </cell>
          <cell r="O43">
            <v>507.13979999999998</v>
          </cell>
          <cell r="R43">
            <v>34.689374999999998</v>
          </cell>
          <cell r="T43">
            <v>256.14390769230772</v>
          </cell>
        </row>
        <row r="44">
          <cell r="C44">
            <v>34.596702000000001</v>
          </cell>
          <cell r="E44">
            <v>1002.9255384615384</v>
          </cell>
          <cell r="H44">
            <v>34.981302999999997</v>
          </cell>
          <cell r="J44">
            <v>751.59406153846146</v>
          </cell>
          <cell r="M44">
            <v>34.741084000000001</v>
          </cell>
          <cell r="O44">
            <v>507.23975384615375</v>
          </cell>
          <cell r="R44">
            <v>34.594524999999997</v>
          </cell>
          <cell r="T44">
            <v>255.73401538461536</v>
          </cell>
        </row>
        <row r="45">
          <cell r="C45">
            <v>34.513976</v>
          </cell>
          <cell r="E45">
            <v>1002.3765692307692</v>
          </cell>
          <cell r="H45">
            <v>34.611215000000001</v>
          </cell>
          <cell r="J45">
            <v>752.12149230769228</v>
          </cell>
          <cell r="M45">
            <v>34.674346999999997</v>
          </cell>
          <cell r="O45">
            <v>507.01167692307689</v>
          </cell>
          <cell r="R45">
            <v>34.473339000000003</v>
          </cell>
          <cell r="T45">
            <v>256.09998461538459</v>
          </cell>
        </row>
        <row r="46">
          <cell r="C46">
            <v>34.398595999999998</v>
          </cell>
          <cell r="E46">
            <v>1003.3776307692308</v>
          </cell>
          <cell r="H46">
            <v>34.446489</v>
          </cell>
          <cell r="J46">
            <v>752.05690769230773</v>
          </cell>
          <cell r="M46">
            <v>34.566949000000001</v>
          </cell>
          <cell r="O46">
            <v>507.24849230769223</v>
          </cell>
          <cell r="R46">
            <v>34.364488999999999</v>
          </cell>
          <cell r="T46">
            <v>256.20763076923078</v>
          </cell>
        </row>
        <row r="47">
          <cell r="C47">
            <v>34.267308</v>
          </cell>
          <cell r="E47">
            <v>1002.8853307692307</v>
          </cell>
          <cell r="H47">
            <v>34.318773</v>
          </cell>
          <cell r="J47">
            <v>752.00309230769233</v>
          </cell>
          <cell r="M47">
            <v>34.448487</v>
          </cell>
          <cell r="O47">
            <v>507.23975384615375</v>
          </cell>
          <cell r="R47">
            <v>34.296277000000003</v>
          </cell>
          <cell r="T47">
            <v>256.1215230769231</v>
          </cell>
        </row>
        <row r="48">
          <cell r="C48">
            <v>34.174365999999999</v>
          </cell>
          <cell r="E48">
            <v>1002.6671999999999</v>
          </cell>
          <cell r="H48">
            <v>34.203392000000001</v>
          </cell>
          <cell r="J48">
            <v>751.90621538461539</v>
          </cell>
          <cell r="M48">
            <v>34.376826000000001</v>
          </cell>
          <cell r="O48">
            <v>507.21620000000001</v>
          </cell>
          <cell r="R48">
            <v>34.173287000000002</v>
          </cell>
          <cell r="T48">
            <v>255.73624615384614</v>
          </cell>
        </row>
        <row r="49">
          <cell r="C49">
            <v>34.026330999999999</v>
          </cell>
          <cell r="E49">
            <v>1004.1418923076923</v>
          </cell>
          <cell r="H49">
            <v>34.123569000000003</v>
          </cell>
          <cell r="J49">
            <v>752.3475538461538</v>
          </cell>
          <cell r="M49">
            <v>34.184207999999998</v>
          </cell>
          <cell r="O49">
            <v>507.39927692307697</v>
          </cell>
          <cell r="R49">
            <v>34.049551999999998</v>
          </cell>
          <cell r="T49">
            <v>256.60590769230765</v>
          </cell>
        </row>
        <row r="50">
          <cell r="C50">
            <v>33.961747000000003</v>
          </cell>
          <cell r="E50">
            <v>1002.5487999999999</v>
          </cell>
          <cell r="H50">
            <v>33.820596000000002</v>
          </cell>
          <cell r="J50">
            <v>752.90852307692319</v>
          </cell>
          <cell r="M50">
            <v>34.032862000000002</v>
          </cell>
          <cell r="O50">
            <v>506.99015384615387</v>
          </cell>
          <cell r="R50">
            <v>33.708489999999998</v>
          </cell>
          <cell r="T50">
            <v>256.93959999999998</v>
          </cell>
        </row>
        <row r="51">
          <cell r="C51">
            <v>33.759287</v>
          </cell>
          <cell r="E51">
            <v>1002.3012307692308</v>
          </cell>
          <cell r="H51">
            <v>33.500225</v>
          </cell>
          <cell r="J51">
            <v>751.01280000000008</v>
          </cell>
          <cell r="M51">
            <v>33.849057000000002</v>
          </cell>
          <cell r="O51">
            <v>507.39296923076921</v>
          </cell>
          <cell r="R51">
            <v>33.405889000000002</v>
          </cell>
          <cell r="T51">
            <v>256.83195384615385</v>
          </cell>
        </row>
        <row r="52">
          <cell r="C52">
            <v>33.561180999999998</v>
          </cell>
          <cell r="E52">
            <v>1002.1828153846153</v>
          </cell>
          <cell r="H52">
            <v>33.305746999999997</v>
          </cell>
          <cell r="J52">
            <v>751.7985692307692</v>
          </cell>
          <cell r="M52">
            <v>33.447977000000002</v>
          </cell>
          <cell r="O52">
            <v>507.22695384615383</v>
          </cell>
          <cell r="R52">
            <v>33.224473000000003</v>
          </cell>
          <cell r="T52">
            <v>257.34863076923079</v>
          </cell>
        </row>
        <row r="53">
          <cell r="C53">
            <v>33.321407999999998</v>
          </cell>
          <cell r="E53">
            <v>1003.0468769230769</v>
          </cell>
          <cell r="H53">
            <v>33.133040000000001</v>
          </cell>
          <cell r="J53">
            <v>751.40030769230759</v>
          </cell>
          <cell r="M53">
            <v>33.127234000000001</v>
          </cell>
          <cell r="O53">
            <v>506.77486153846155</v>
          </cell>
          <cell r="R53">
            <v>32.709978</v>
          </cell>
          <cell r="T53">
            <v>257.35939999999999</v>
          </cell>
        </row>
        <row r="54">
          <cell r="C54">
            <v>33.079340999999999</v>
          </cell>
          <cell r="E54">
            <v>1002.3442769230769</v>
          </cell>
          <cell r="H54">
            <v>32.826056999999999</v>
          </cell>
          <cell r="J54">
            <v>750.8612461538462</v>
          </cell>
          <cell r="M54">
            <v>32.575730999999998</v>
          </cell>
          <cell r="O54">
            <v>507.0654923076923</v>
          </cell>
          <cell r="R54">
            <v>32.364562999999997</v>
          </cell>
          <cell r="T54">
            <v>256.76736923076925</v>
          </cell>
        </row>
        <row r="55">
          <cell r="C55">
            <v>32.754244</v>
          </cell>
          <cell r="E55">
            <v>1004.6047538461538</v>
          </cell>
          <cell r="H55">
            <v>32.484296999999998</v>
          </cell>
          <cell r="J55">
            <v>751.12043076923078</v>
          </cell>
          <cell r="M55">
            <v>32.151218</v>
          </cell>
          <cell r="O55">
            <v>506.88250769230763</v>
          </cell>
          <cell r="R55">
            <v>31.836279999999999</v>
          </cell>
          <cell r="T55">
            <v>257.28404615384613</v>
          </cell>
        </row>
        <row r="56">
          <cell r="C56">
            <v>32.418261999999999</v>
          </cell>
          <cell r="E56">
            <v>1002.8717230769231</v>
          </cell>
          <cell r="H56">
            <v>32.127271</v>
          </cell>
          <cell r="J56">
            <v>751.97079999999994</v>
          </cell>
          <cell r="M56">
            <v>31.734687000000001</v>
          </cell>
          <cell r="O56">
            <v>506.26895384615392</v>
          </cell>
          <cell r="R56">
            <v>31.291307</v>
          </cell>
          <cell r="T56">
            <v>257.54238461538455</v>
          </cell>
        </row>
        <row r="57">
          <cell r="C57">
            <v>32.117111999999999</v>
          </cell>
          <cell r="E57">
            <v>1002.1612923076923</v>
          </cell>
          <cell r="H57">
            <v>31.706385999999998</v>
          </cell>
          <cell r="J57">
            <v>751.21730769230771</v>
          </cell>
          <cell r="M57">
            <v>31.261555000000001</v>
          </cell>
          <cell r="O57">
            <v>508.24955384615379</v>
          </cell>
          <cell r="R57">
            <v>30.577981000000001</v>
          </cell>
          <cell r="T57">
            <v>257.1871692307692</v>
          </cell>
        </row>
        <row r="58">
          <cell r="C58">
            <v>31.741944</v>
          </cell>
          <cell r="E58">
            <v>1003.4314615384613</v>
          </cell>
          <cell r="H58">
            <v>31.251396</v>
          </cell>
          <cell r="J58">
            <v>750.36695384615382</v>
          </cell>
          <cell r="M58">
            <v>30.501059999999999</v>
          </cell>
          <cell r="O58">
            <v>507.16236923076929</v>
          </cell>
          <cell r="R58">
            <v>29.524318000000001</v>
          </cell>
          <cell r="T58">
            <v>257.34863076923079</v>
          </cell>
        </row>
        <row r="59">
          <cell r="C59">
            <v>31.349360000000001</v>
          </cell>
          <cell r="E59">
            <v>1003.1731230769232</v>
          </cell>
          <cell r="H59">
            <v>30.550405999999999</v>
          </cell>
          <cell r="J59">
            <v>751.28189230769226</v>
          </cell>
          <cell r="M59">
            <v>29.677433000000001</v>
          </cell>
          <cell r="O59">
            <v>507.92663076923077</v>
          </cell>
          <cell r="R59">
            <v>28.422761999999999</v>
          </cell>
          <cell r="T59">
            <v>257.02570769230766</v>
          </cell>
        </row>
        <row r="60">
          <cell r="C60">
            <v>30.526458999999999</v>
          </cell>
          <cell r="E60">
            <v>1003.3453384615385</v>
          </cell>
          <cell r="H60">
            <v>29.568584000000001</v>
          </cell>
          <cell r="J60">
            <v>752.61664615384609</v>
          </cell>
          <cell r="M60">
            <v>28.495328000000001</v>
          </cell>
          <cell r="O60">
            <v>507.91586153846157</v>
          </cell>
          <cell r="R60">
            <v>27.318303</v>
          </cell>
          <cell r="T60">
            <v>257.31633846153841</v>
          </cell>
        </row>
        <row r="61">
          <cell r="C61">
            <v>29.299363</v>
          </cell>
          <cell r="E61">
            <v>1003.7543846153847</v>
          </cell>
          <cell r="H61">
            <v>28.366886000000001</v>
          </cell>
          <cell r="J61">
            <v>753.19790769230758</v>
          </cell>
          <cell r="M61">
            <v>27.305240999999999</v>
          </cell>
          <cell r="O61">
            <v>508.0127384615385</v>
          </cell>
          <cell r="R61">
            <v>25.328536</v>
          </cell>
          <cell r="T61">
            <v>257.66078461538461</v>
          </cell>
        </row>
        <row r="62">
          <cell r="C62">
            <v>28.443080999999999</v>
          </cell>
          <cell r="E62">
            <v>1003.0547076923077</v>
          </cell>
          <cell r="H62">
            <v>27.554869</v>
          </cell>
          <cell r="J62">
            <v>752.01386153846147</v>
          </cell>
          <cell r="M62">
            <v>26.32995</v>
          </cell>
          <cell r="O62">
            <v>508.93846153846152</v>
          </cell>
          <cell r="R62">
            <v>23.168963000000002</v>
          </cell>
          <cell r="T62">
            <v>257.15487692307693</v>
          </cell>
        </row>
        <row r="63">
          <cell r="C63">
            <v>27.882142999999999</v>
          </cell>
          <cell r="E63">
            <v>1002.2581692307692</v>
          </cell>
          <cell r="H63">
            <v>26.506287</v>
          </cell>
          <cell r="J63">
            <v>752.84269230769235</v>
          </cell>
          <cell r="M63">
            <v>23.967192000000001</v>
          </cell>
          <cell r="O63">
            <v>509.07838461538461</v>
          </cell>
          <cell r="R63">
            <v>20.625515</v>
          </cell>
          <cell r="T63">
            <v>258.09135384615388</v>
          </cell>
        </row>
        <row r="64">
          <cell r="C64">
            <v>25.037545000000001</v>
          </cell>
          <cell r="E64">
            <v>1001.9783076923077</v>
          </cell>
          <cell r="H64">
            <v>24.933050000000001</v>
          </cell>
          <cell r="J64">
            <v>751.65864615384612</v>
          </cell>
          <cell r="M64">
            <v>20.474577</v>
          </cell>
          <cell r="O64">
            <v>508.84158461538453</v>
          </cell>
          <cell r="R64">
            <v>17.530563000000001</v>
          </cell>
          <cell r="T64">
            <v>257.61773846153847</v>
          </cell>
        </row>
        <row r="65">
          <cell r="C65">
            <v>20.306222999999999</v>
          </cell>
          <cell r="E65">
            <v>1004.3356461538461</v>
          </cell>
          <cell r="H65">
            <v>19.182897000000001</v>
          </cell>
          <cell r="J65">
            <v>752.31526153846153</v>
          </cell>
          <cell r="M65">
            <v>18.199624</v>
          </cell>
          <cell r="O65">
            <v>509.04609230769228</v>
          </cell>
          <cell r="R65">
            <v>14.685964999999999</v>
          </cell>
          <cell r="T65">
            <v>257.73613846153847</v>
          </cell>
        </row>
        <row r="66">
          <cell r="C66">
            <v>13.755665</v>
          </cell>
          <cell r="E66">
            <v>1001.4078000000001</v>
          </cell>
          <cell r="H66">
            <v>12.992267</v>
          </cell>
          <cell r="J66">
            <v>751.82010769230772</v>
          </cell>
          <cell r="M66">
            <v>15.303504</v>
          </cell>
          <cell r="O66">
            <v>509.81035384615387</v>
          </cell>
          <cell r="R66">
            <v>10.571456</v>
          </cell>
          <cell r="T66">
            <v>257.38092307692307</v>
          </cell>
        </row>
        <row r="67">
          <cell r="C67">
            <v>8.5308919999999997</v>
          </cell>
          <cell r="E67">
            <v>1000.5682</v>
          </cell>
          <cell r="H67">
            <v>5.6904519999999996</v>
          </cell>
          <cell r="J67">
            <v>752.00832307692303</v>
          </cell>
          <cell r="M67">
            <v>9.7405720000000002</v>
          </cell>
          <cell r="O67">
            <v>509.99333846153837</v>
          </cell>
          <cell r="R67">
            <v>5.5687369999999996</v>
          </cell>
          <cell r="T67">
            <v>257.27327692307699</v>
          </cell>
        </row>
        <row r="68">
          <cell r="C68">
            <v>3.5499429999999998</v>
          </cell>
          <cell r="E68">
            <v>1001.7737846153847</v>
          </cell>
          <cell r="H68">
            <v>0.947716</v>
          </cell>
          <cell r="J68">
            <v>752.60589230769222</v>
          </cell>
          <cell r="M68">
            <v>4.6348089999999997</v>
          </cell>
          <cell r="O68">
            <v>509.16450769230767</v>
          </cell>
          <cell r="R68">
            <v>2.8794300000000002</v>
          </cell>
          <cell r="T68">
            <v>257.83301538461541</v>
          </cell>
        </row>
        <row r="69">
          <cell r="C69">
            <v>1.3649720000000001</v>
          </cell>
          <cell r="E69">
            <v>1002.2581692307692</v>
          </cell>
          <cell r="H69">
            <v>0.64221200000000001</v>
          </cell>
          <cell r="J69">
            <v>751.97079999999994</v>
          </cell>
          <cell r="M69">
            <v>0.60883100000000001</v>
          </cell>
          <cell r="O69">
            <v>509.63812307692314</v>
          </cell>
          <cell r="R69">
            <v>0.221327</v>
          </cell>
          <cell r="T69">
            <v>257.38092307692307</v>
          </cell>
        </row>
        <row r="70">
          <cell r="C70">
            <v>0</v>
          </cell>
          <cell r="E70">
            <v>1001.8552153846155</v>
          </cell>
          <cell r="H70">
            <v>0</v>
          </cell>
          <cell r="J70">
            <v>752.06932307692307</v>
          </cell>
          <cell r="M70">
            <v>0</v>
          </cell>
          <cell r="O70">
            <v>509.27396923076918</v>
          </cell>
          <cell r="R70">
            <v>0</v>
          </cell>
          <cell r="T70">
            <v>257.41238461538461</v>
          </cell>
        </row>
      </sheetData>
      <sheetData sheetId="5">
        <row r="11">
          <cell r="AM11">
            <v>47.799676489127499</v>
          </cell>
        </row>
      </sheetData>
      <sheetData sheetId="6">
        <row r="15">
          <cell r="D15">
            <v>5.53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zoomScale="107" zoomScaleNormal="85" workbookViewId="0">
      <selection activeCell="B3" sqref="B3"/>
    </sheetView>
  </sheetViews>
  <sheetFormatPr defaultColWidth="11.5546875" defaultRowHeight="14.4" x14ac:dyDescent="0.3"/>
  <cols>
    <col min="1" max="1" width="4.6640625" style="1" customWidth="1"/>
    <col min="2" max="2" width="12.44140625" customWidth="1"/>
    <col min="3" max="3" width="13.21875" bestFit="1" customWidth="1"/>
    <col min="4" max="4" width="11.33203125" customWidth="1"/>
    <col min="5" max="5" width="7.6640625" customWidth="1"/>
    <col min="6" max="6" width="29.5546875" style="2" customWidth="1"/>
    <col min="7" max="7" width="23.77734375" style="1" customWidth="1"/>
    <col min="8" max="8" width="8.88671875" style="1" customWidth="1"/>
    <col min="9" max="9" width="7.5546875" style="1" customWidth="1"/>
    <col min="10" max="10" width="6.6640625" customWidth="1"/>
    <col min="11" max="11" width="13" customWidth="1"/>
    <col min="12" max="12" width="14.5546875" customWidth="1"/>
    <col min="13" max="13" width="6.44140625" customWidth="1"/>
    <col min="14" max="14" width="7.33203125" customWidth="1"/>
    <col min="15" max="15" width="7.88671875" customWidth="1"/>
    <col min="16" max="16" width="6.88671875" customWidth="1"/>
    <col min="17" max="17" width="9.5546875" customWidth="1"/>
    <col min="18" max="18" width="7.109375" customWidth="1"/>
    <col min="19" max="19" width="8.44140625" customWidth="1"/>
  </cols>
  <sheetData>
    <row r="1" spans="1:18" x14ac:dyDescent="0.3">
      <c r="B1" s="11"/>
      <c r="C1" s="16"/>
      <c r="D1" s="10"/>
      <c r="P1" s="37" t="s">
        <v>83</v>
      </c>
      <c r="Q1" s="37"/>
    </row>
    <row r="2" spans="1:18" x14ac:dyDescent="0.3">
      <c r="B2" s="10" t="s">
        <v>88</v>
      </c>
      <c r="C2" s="10"/>
      <c r="D2" s="10"/>
      <c r="G2" s="17" t="s">
        <v>28</v>
      </c>
      <c r="P2" s="37" t="s">
        <v>84</v>
      </c>
      <c r="Q2" s="37">
        <v>5.5807000000000002</v>
      </c>
    </row>
    <row r="3" spans="1:18" x14ac:dyDescent="0.3">
      <c r="P3" s="37" t="s">
        <v>85</v>
      </c>
      <c r="Q3" s="38">
        <v>43.061999999999998</v>
      </c>
      <c r="R3" s="19"/>
    </row>
    <row r="4" spans="1:18" x14ac:dyDescent="0.3">
      <c r="F4" s="25" t="s">
        <v>10</v>
      </c>
      <c r="G4" s="29">
        <f>MIN(H11:H70)</f>
        <v>999.98693846153856</v>
      </c>
      <c r="H4" s="25" t="s">
        <v>11</v>
      </c>
      <c r="I4" s="29">
        <f>MAX(H11:H70)</f>
        <v>100227969230.76923</v>
      </c>
      <c r="J4" s="25" t="s">
        <v>18</v>
      </c>
      <c r="K4" s="29">
        <f>AVERAGE(H11:H70)</f>
        <v>1670467140.0782309</v>
      </c>
      <c r="L4" s="25" t="s">
        <v>16</v>
      </c>
      <c r="M4" s="21">
        <f>MAX((I4-K4),(K4-G4))*100/G4</f>
        <v>9855878942.0109711</v>
      </c>
      <c r="P4" s="37" t="s">
        <v>86</v>
      </c>
      <c r="Q4" s="37">
        <v>35.079000000000001</v>
      </c>
    </row>
    <row r="5" spans="1:18" x14ac:dyDescent="0.3">
      <c r="F5" s="22"/>
      <c r="H5" s="23"/>
      <c r="J5" s="23"/>
      <c r="L5" s="23"/>
      <c r="O5" s="18"/>
      <c r="P5" s="39" t="s">
        <v>87</v>
      </c>
      <c r="Q5" s="37">
        <v>5.1280000000000001</v>
      </c>
    </row>
    <row r="6" spans="1:18" x14ac:dyDescent="0.3">
      <c r="F6" s="30" t="s">
        <v>23</v>
      </c>
      <c r="G6" s="2">
        <f>K6/I6</f>
        <v>34.956404999999997</v>
      </c>
      <c r="H6" s="30" t="s">
        <v>24</v>
      </c>
      <c r="I6" s="8">
        <f>VLOOKUP(K6,K11:L70,2,FALSE)</f>
        <v>5.1459999999999999</v>
      </c>
      <c r="J6" s="30" t="s">
        <v>22</v>
      </c>
      <c r="K6" s="1">
        <f>MAX(K11:K70)</f>
        <v>179.88566012999999</v>
      </c>
      <c r="L6" s="24" t="s">
        <v>17</v>
      </c>
      <c r="M6" s="21">
        <f>MAX(MAX(M11:M70), -MIN(M11:M70))</f>
        <v>0.3880460304407139</v>
      </c>
      <c r="Q6" s="7"/>
    </row>
    <row r="7" spans="1:18" x14ac:dyDescent="0.3">
      <c r="F7" s="34"/>
      <c r="H7" s="23"/>
      <c r="J7" s="23"/>
      <c r="L7" s="23"/>
    </row>
    <row r="8" spans="1:18" x14ac:dyDescent="0.3">
      <c r="B8" t="s">
        <v>2</v>
      </c>
      <c r="C8" t="s">
        <v>1</v>
      </c>
      <c r="D8" t="s">
        <v>3</v>
      </c>
      <c r="F8" s="26" t="s">
        <v>20</v>
      </c>
      <c r="G8" s="1">
        <v>33.4</v>
      </c>
      <c r="H8" s="26" t="s">
        <v>21</v>
      </c>
      <c r="I8" s="1">
        <v>54.8</v>
      </c>
      <c r="J8" s="28" t="s">
        <v>14</v>
      </c>
      <c r="K8" s="2">
        <f>1000*G70/H70</f>
        <v>5.5690565955641711</v>
      </c>
      <c r="L8" s="28" t="s">
        <v>19</v>
      </c>
      <c r="M8" s="20">
        <f>L70*1000/H70</f>
        <v>5.5613172692595407</v>
      </c>
    </row>
    <row r="9" spans="1:18" x14ac:dyDescent="0.3">
      <c r="B9" t="s">
        <v>0</v>
      </c>
      <c r="C9" s="17"/>
      <c r="D9" s="17"/>
      <c r="F9" s="5" t="s">
        <v>4</v>
      </c>
      <c r="L9" s="36" t="s">
        <v>7</v>
      </c>
    </row>
    <row r="10" spans="1:18" x14ac:dyDescent="0.3">
      <c r="B10" t="s">
        <v>29</v>
      </c>
      <c r="F10" s="5">
        <v>43.061999999999998</v>
      </c>
      <c r="G10" s="1" t="s">
        <v>5</v>
      </c>
      <c r="H10" s="1" t="s">
        <v>9</v>
      </c>
      <c r="I10" s="1" t="s">
        <v>6</v>
      </c>
      <c r="K10" s="1" t="s">
        <v>12</v>
      </c>
      <c r="L10" s="33">
        <v>0</v>
      </c>
      <c r="M10" s="1" t="s">
        <v>8</v>
      </c>
      <c r="O10" s="1" t="s">
        <v>25</v>
      </c>
      <c r="P10" s="1" t="s">
        <v>26</v>
      </c>
      <c r="Q10" s="1" t="s">
        <v>27</v>
      </c>
    </row>
    <row r="11" spans="1:18" x14ac:dyDescent="0.3">
      <c r="A11" s="1">
        <f>A10+1</f>
        <v>1</v>
      </c>
      <c r="B11" s="6">
        <v>43.057929999999999</v>
      </c>
      <c r="C11" s="6">
        <f>0.038417*10^-2</f>
        <v>3.8417000000000003E-4</v>
      </c>
      <c r="D11" s="6" t="s">
        <v>31</v>
      </c>
      <c r="F11" s="5">
        <f t="shared" ref="F11:F12" si="0">B11*1</f>
        <v>43.057929999999999</v>
      </c>
      <c r="G11" s="8">
        <f>C11*10</f>
        <v>3.8417000000000004E-3</v>
      </c>
      <c r="H11" s="3">
        <f t="shared" ref="H11:H58" si="1">D11*1000000/65</f>
        <v>1001.4508615384616</v>
      </c>
      <c r="I11" s="2">
        <f t="shared" ref="I11:I58" si="2">F11*G11</f>
        <v>0.165415649681</v>
      </c>
      <c r="K11" s="6">
        <f t="shared" ref="K11:K40" si="3">F11*L11</f>
        <v>0.165415649681</v>
      </c>
      <c r="L11" s="32">
        <f>G11</f>
        <v>3.8417000000000004E-3</v>
      </c>
      <c r="M11">
        <v>0</v>
      </c>
      <c r="O11">
        <v>0</v>
      </c>
      <c r="P11" s="1"/>
      <c r="Q11">
        <v>0</v>
      </c>
    </row>
    <row r="12" spans="1:18" x14ac:dyDescent="0.3">
      <c r="A12" s="1">
        <f t="shared" ref="A12:A21" si="4">A11+1</f>
        <v>2</v>
      </c>
      <c r="B12" s="6">
        <v>42.795966</v>
      </c>
      <c r="C12" s="6">
        <f>0.0361123</f>
        <v>3.61123E-2</v>
      </c>
      <c r="D12" s="6" t="s">
        <v>32</v>
      </c>
      <c r="F12" s="5">
        <f t="shared" si="0"/>
        <v>42.795966</v>
      </c>
      <c r="G12" s="8">
        <f t="shared" ref="G12:G70" si="5">C12*10</f>
        <v>0.36112299999999997</v>
      </c>
      <c r="H12" s="3">
        <f t="shared" si="1"/>
        <v>999.98693846153856</v>
      </c>
      <c r="I12" s="2">
        <f t="shared" si="2"/>
        <v>15.454607629817998</v>
      </c>
      <c r="K12" s="6">
        <f t="shared" si="3"/>
        <v>15.454607629817998</v>
      </c>
      <c r="L12" s="32">
        <f t="shared" ref="L12:L18" si="6">G12</f>
        <v>0.36112299999999997</v>
      </c>
      <c r="M12">
        <f t="shared" ref="M12:M23" si="7">(L12-G12)*100/G12</f>
        <v>0</v>
      </c>
      <c r="O12">
        <f>(F12-F11)/(L12-L11)</f>
        <v>-0.73321497654648871</v>
      </c>
      <c r="P12" s="1" t="str">
        <f>IF(O12&gt;O11,"C"," ")</f>
        <v xml:space="preserve"> </v>
      </c>
      <c r="Q12" s="6">
        <f>(F12-F11)/(L12-L11)*(L12/F12)</f>
        <v>-6.1870502461703423E-3</v>
      </c>
    </row>
    <row r="13" spans="1:18" x14ac:dyDescent="0.3">
      <c r="A13" s="1">
        <f t="shared" si="4"/>
        <v>3</v>
      </c>
      <c r="B13" s="6">
        <f>42.270586</f>
        <v>42.270586000000002</v>
      </c>
      <c r="C13">
        <f>0.10513779</f>
        <v>0.10513778999999999</v>
      </c>
      <c r="D13" s="6" t="s">
        <v>82</v>
      </c>
      <c r="F13" s="5">
        <f>B13</f>
        <v>42.270586000000002</v>
      </c>
      <c r="G13" s="8">
        <f t="shared" si="5"/>
        <v>1.0513778999999999</v>
      </c>
      <c r="H13" s="3">
        <f t="shared" si="1"/>
        <v>100227969230.76923</v>
      </c>
      <c r="I13" s="2">
        <f t="shared" si="2"/>
        <v>44.442359940449393</v>
      </c>
      <c r="K13" s="6">
        <f t="shared" si="3"/>
        <v>44.442359940449393</v>
      </c>
      <c r="L13" s="32">
        <f t="shared" si="6"/>
        <v>1.0513778999999999</v>
      </c>
      <c r="M13">
        <f t="shared" si="7"/>
        <v>0</v>
      </c>
      <c r="O13">
        <f t="shared" ref="O13:O70" si="8">(F13-F12)/(L13-L12)</f>
        <v>-0.76113910962457276</v>
      </c>
      <c r="P13" s="1" t="str">
        <f t="shared" ref="P13:P70" si="9">IF(O13&gt;O12,"C"," ")</f>
        <v xml:space="preserve"> </v>
      </c>
      <c r="Q13" s="6">
        <f t="shared" ref="Q13:Q70" si="10">(F13-F12)/(L13-L12)*(L13/F13)</f>
        <v>-1.8931482016477201E-2</v>
      </c>
    </row>
    <row r="14" spans="1:18" x14ac:dyDescent="0.3">
      <c r="A14" s="1">
        <f t="shared" si="4"/>
        <v>4</v>
      </c>
      <c r="B14" s="6">
        <f>41.743755</f>
        <v>41.743755</v>
      </c>
      <c r="C14" s="6">
        <f>0.16930873</f>
        <v>0.16930872999999999</v>
      </c>
      <c r="D14" s="6" t="s">
        <v>33</v>
      </c>
      <c r="F14" s="5">
        <f t="shared" ref="F14:F70" si="11">B14</f>
        <v>41.743755</v>
      </c>
      <c r="G14" s="8">
        <f t="shared" si="5"/>
        <v>1.6930873</v>
      </c>
      <c r="H14" s="3">
        <f t="shared" si="1"/>
        <v>1003.9481384615384</v>
      </c>
      <c r="I14" s="2">
        <f t="shared" si="2"/>
        <v>70.675821444811504</v>
      </c>
      <c r="K14" s="6">
        <f t="shared" si="3"/>
        <v>70.675821444811504</v>
      </c>
      <c r="L14" s="32">
        <f t="shared" si="6"/>
        <v>1.6930873</v>
      </c>
      <c r="M14">
        <f t="shared" si="7"/>
        <v>0</v>
      </c>
      <c r="O14">
        <f t="shared" si="8"/>
        <v>-0.82098064949648752</v>
      </c>
      <c r="P14" s="1" t="str">
        <f t="shared" si="9"/>
        <v xml:space="preserve"> </v>
      </c>
      <c r="Q14" s="6">
        <f t="shared" si="10"/>
        <v>-3.3298200202838829E-2</v>
      </c>
    </row>
    <row r="15" spans="1:18" x14ac:dyDescent="0.3">
      <c r="A15" s="1">
        <f t="shared" si="4"/>
        <v>5</v>
      </c>
      <c r="B15" s="6">
        <f>41.315614</f>
        <v>41.315613999999997</v>
      </c>
      <c r="C15" s="6">
        <f>0.21446657</f>
        <v>0.21446657</v>
      </c>
      <c r="D15" s="6" t="s">
        <v>34</v>
      </c>
      <c r="F15" s="5">
        <f t="shared" si="11"/>
        <v>41.315613999999997</v>
      </c>
      <c r="G15" s="8">
        <f t="shared" si="5"/>
        <v>2.1446657</v>
      </c>
      <c r="H15" s="3">
        <f t="shared" si="1"/>
        <v>1003.6144461538462</v>
      </c>
      <c r="I15" s="2">
        <f t="shared" si="2"/>
        <v>88.608180220239788</v>
      </c>
      <c r="K15" s="6">
        <f t="shared" si="3"/>
        <v>88.608180220239788</v>
      </c>
      <c r="L15" s="32">
        <f t="shared" si="6"/>
        <v>2.1446657</v>
      </c>
      <c r="M15">
        <f t="shared" si="7"/>
        <v>0</v>
      </c>
      <c r="O15">
        <f t="shared" si="8"/>
        <v>-0.94809893475862361</v>
      </c>
      <c r="P15" s="1" t="str">
        <f t="shared" si="9"/>
        <v xml:space="preserve"> </v>
      </c>
      <c r="Q15" s="6">
        <f t="shared" si="10"/>
        <v>-4.9215177235012363E-2</v>
      </c>
    </row>
    <row r="16" spans="1:18" x14ac:dyDescent="0.3">
      <c r="A16" s="1">
        <f t="shared" si="4"/>
        <v>6</v>
      </c>
      <c r="B16" s="6">
        <f>40.715491</f>
        <v>40.715491</v>
      </c>
      <c r="C16" s="6">
        <f>0.27016474</f>
        <v>0.27016474000000001</v>
      </c>
      <c r="D16" s="6" t="s">
        <v>35</v>
      </c>
      <c r="F16" s="5">
        <f t="shared" si="11"/>
        <v>40.715491</v>
      </c>
      <c r="G16" s="8">
        <f t="shared" si="5"/>
        <v>2.7016474000000001</v>
      </c>
      <c r="H16" s="3">
        <f t="shared" si="1"/>
        <v>1004.3571692307694</v>
      </c>
      <c r="I16" s="2">
        <f t="shared" si="2"/>
        <v>109.99890039987341</v>
      </c>
      <c r="K16" s="6">
        <f t="shared" si="3"/>
        <v>109.99890039987341</v>
      </c>
      <c r="L16" s="32">
        <f t="shared" si="6"/>
        <v>2.7016474000000001</v>
      </c>
      <c r="M16">
        <f t="shared" si="7"/>
        <v>0</v>
      </c>
      <c r="O16">
        <f t="shared" si="8"/>
        <v>-1.0774555070660243</v>
      </c>
      <c r="P16" s="1" t="str">
        <f t="shared" si="9"/>
        <v xml:space="preserve"> </v>
      </c>
      <c r="Q16" s="6">
        <f t="shared" si="10"/>
        <v>-7.1493792602933523E-2</v>
      </c>
    </row>
    <row r="17" spans="1:17" x14ac:dyDescent="0.3">
      <c r="A17" s="1">
        <f t="shared" si="4"/>
        <v>7</v>
      </c>
      <c r="B17" s="6">
        <f>40.438287</f>
        <v>40.438287000000003</v>
      </c>
      <c r="C17" s="6">
        <f>0.29336183</f>
        <v>0.29336182999999999</v>
      </c>
      <c r="D17" s="6" t="s">
        <v>36</v>
      </c>
      <c r="F17" s="5">
        <f t="shared" si="11"/>
        <v>40.438287000000003</v>
      </c>
      <c r="G17" s="8">
        <f t="shared" si="5"/>
        <v>2.9336183</v>
      </c>
      <c r="H17" s="3">
        <f t="shared" si="1"/>
        <v>1003.5713846153845</v>
      </c>
      <c r="I17" s="2">
        <f t="shared" si="2"/>
        <v>118.6304987638521</v>
      </c>
      <c r="K17" s="6">
        <f t="shared" si="3"/>
        <v>118.6304987638521</v>
      </c>
      <c r="L17" s="32">
        <f t="shared" si="6"/>
        <v>2.9336183</v>
      </c>
      <c r="M17">
        <f t="shared" si="7"/>
        <v>0</v>
      </c>
      <c r="O17">
        <f t="shared" si="8"/>
        <v>-1.194994717009753</v>
      </c>
      <c r="P17" s="1" t="str">
        <f t="shared" si="9"/>
        <v xml:space="preserve"> </v>
      </c>
      <c r="Q17" s="6">
        <f t="shared" si="10"/>
        <v>-8.6691564611110578E-2</v>
      </c>
    </row>
    <row r="18" spans="1:17" x14ac:dyDescent="0.3">
      <c r="A18" s="1">
        <f t="shared" si="4"/>
        <v>8</v>
      </c>
      <c r="B18" s="6">
        <f>39.743102</f>
        <v>39.743102</v>
      </c>
      <c r="C18" s="6">
        <f>0.34464549</f>
        <v>0.34464549</v>
      </c>
      <c r="D18" s="6" t="s">
        <v>37</v>
      </c>
      <c r="F18" s="5">
        <f t="shared" si="11"/>
        <v>39.743102</v>
      </c>
      <c r="G18" s="8">
        <f t="shared" si="5"/>
        <v>3.4464549</v>
      </c>
      <c r="H18" s="3">
        <f t="shared" si="1"/>
        <v>1001.2355692307692</v>
      </c>
      <c r="I18" s="2">
        <f t="shared" si="2"/>
        <v>136.9728086290998</v>
      </c>
      <c r="K18" s="6">
        <f t="shared" si="3"/>
        <v>136.9728086290998</v>
      </c>
      <c r="L18" s="32">
        <f t="shared" si="6"/>
        <v>3.4464549</v>
      </c>
      <c r="M18">
        <f t="shared" si="7"/>
        <v>0</v>
      </c>
      <c r="O18">
        <f t="shared" si="8"/>
        <v>-1.3555682258247601</v>
      </c>
      <c r="P18" s="1" t="str">
        <f t="shared" si="9"/>
        <v xml:space="preserve"> </v>
      </c>
      <c r="Q18" s="6">
        <f t="shared" si="10"/>
        <v>-0.11755259451509475</v>
      </c>
    </row>
    <row r="19" spans="1:17" x14ac:dyDescent="0.3">
      <c r="A19" s="1">
        <f t="shared" si="4"/>
        <v>9</v>
      </c>
      <c r="B19" s="6">
        <f>39.348342</f>
        <v>39.348342000000002</v>
      </c>
      <c r="C19" s="6">
        <f>0.36986822</f>
        <v>0.36986822000000003</v>
      </c>
      <c r="D19" s="6" t="s">
        <v>38</v>
      </c>
      <c r="F19" s="5">
        <f t="shared" si="11"/>
        <v>39.348342000000002</v>
      </c>
      <c r="G19" s="8">
        <f t="shared" si="5"/>
        <v>3.6986822000000004</v>
      </c>
      <c r="H19" s="3">
        <f t="shared" si="1"/>
        <v>1004.744676923077</v>
      </c>
      <c r="I19" s="2">
        <f t="shared" si="2"/>
        <v>145.53701215491242</v>
      </c>
      <c r="K19" s="6">
        <f t="shared" si="3"/>
        <v>145.43147203200002</v>
      </c>
      <c r="L19" s="32">
        <v>3.6960000000000002</v>
      </c>
      <c r="M19">
        <f t="shared" si="7"/>
        <v>-7.2517719959832985E-2</v>
      </c>
      <c r="O19">
        <f t="shared" si="8"/>
        <v>-1.5819184588276736</v>
      </c>
      <c r="P19" s="1" t="str">
        <f t="shared" si="9"/>
        <v xml:space="preserve"> </v>
      </c>
      <c r="Q19" s="6">
        <f t="shared" si="10"/>
        <v>-0.14859001235241581</v>
      </c>
    </row>
    <row r="20" spans="1:17" x14ac:dyDescent="0.3">
      <c r="A20" s="1">
        <f t="shared" si="4"/>
        <v>10</v>
      </c>
      <c r="B20" s="6">
        <f>38.743865</f>
        <v>38.743865</v>
      </c>
      <c r="C20" s="6">
        <f>0.40369644</f>
        <v>0.40369643999999999</v>
      </c>
      <c r="D20" s="6" t="s">
        <v>39</v>
      </c>
      <c r="F20" s="5">
        <f t="shared" si="11"/>
        <v>38.743865</v>
      </c>
      <c r="G20" s="8">
        <f t="shared" si="5"/>
        <v>4.0369643999999996</v>
      </c>
      <c r="H20" s="3">
        <f t="shared" si="1"/>
        <v>1003.2484615384615</v>
      </c>
      <c r="I20" s="2">
        <f t="shared" si="2"/>
        <v>156.40760372340597</v>
      </c>
      <c r="K20" s="6">
        <f t="shared" si="3"/>
        <v>156.37023914</v>
      </c>
      <c r="L20" s="32">
        <v>4.0359999999999996</v>
      </c>
      <c r="M20">
        <f t="shared" si="7"/>
        <v>-2.3889237170384176E-2</v>
      </c>
      <c r="O20">
        <f t="shared" si="8"/>
        <v>-1.777873529411776</v>
      </c>
      <c r="P20" s="1" t="str">
        <f t="shared" si="9"/>
        <v xml:space="preserve"> </v>
      </c>
      <c r="Q20" s="6">
        <f t="shared" si="10"/>
        <v>-0.18520345259064699</v>
      </c>
    </row>
    <row r="21" spans="1:17" x14ac:dyDescent="0.3">
      <c r="A21" s="1">
        <f t="shared" si="4"/>
        <v>11</v>
      </c>
      <c r="B21" s="6">
        <f>38.353458</f>
        <v>38.353458000000003</v>
      </c>
      <c r="C21" s="6">
        <f>0.42212978</f>
        <v>0.42212978000000001</v>
      </c>
      <c r="D21" s="6" t="s">
        <v>40</v>
      </c>
      <c r="F21" s="5">
        <f t="shared" si="11"/>
        <v>38.353458000000003</v>
      </c>
      <c r="G21" s="8">
        <f t="shared" si="5"/>
        <v>4.2212978000000003</v>
      </c>
      <c r="H21" s="3">
        <f t="shared" si="1"/>
        <v>1003.0116615384617</v>
      </c>
      <c r="I21" s="2">
        <f t="shared" si="2"/>
        <v>161.90136787779244</v>
      </c>
      <c r="K21" s="6">
        <f t="shared" si="3"/>
        <v>161.90136787779244</v>
      </c>
      <c r="L21" s="32">
        <f t="shared" ref="L21:L29" si="12">G21</f>
        <v>4.2212978000000003</v>
      </c>
      <c r="M21">
        <f t="shared" si="7"/>
        <v>0</v>
      </c>
      <c r="O21">
        <f t="shared" si="8"/>
        <v>-2.1069165419125033</v>
      </c>
      <c r="P21" s="1" t="str">
        <f t="shared" si="9"/>
        <v xml:space="preserve"> </v>
      </c>
      <c r="Q21" s="6">
        <f t="shared" si="10"/>
        <v>-0.23189361864473493</v>
      </c>
    </row>
    <row r="22" spans="1:17" x14ac:dyDescent="0.3">
      <c r="A22" s="1">
        <f t="shared" ref="A22:A70" si="13">A21+1</f>
        <v>12</v>
      </c>
      <c r="B22" s="6">
        <f>37.7156</f>
        <v>37.715600000000002</v>
      </c>
      <c r="C22" s="6">
        <f>0.44782749</f>
        <v>0.44782748999999999</v>
      </c>
      <c r="D22" s="6" t="s">
        <v>41</v>
      </c>
      <c r="F22" s="5">
        <f t="shared" si="11"/>
        <v>37.715600000000002</v>
      </c>
      <c r="G22" s="8">
        <f t="shared" si="5"/>
        <v>4.4782748999999997</v>
      </c>
      <c r="H22" s="3">
        <f t="shared" si="1"/>
        <v>1002.6564461538462</v>
      </c>
      <c r="I22" s="2">
        <f t="shared" si="2"/>
        <v>168.90082481843999</v>
      </c>
      <c r="K22" s="6">
        <f t="shared" si="3"/>
        <v>168.90082481843999</v>
      </c>
      <c r="L22" s="32">
        <f t="shared" si="12"/>
        <v>4.4782748999999997</v>
      </c>
      <c r="M22">
        <f t="shared" si="7"/>
        <v>0</v>
      </c>
      <c r="O22">
        <f t="shared" si="8"/>
        <v>-2.4821589161057651</v>
      </c>
      <c r="P22" s="1" t="str">
        <f t="shared" si="9"/>
        <v xml:space="preserve"> </v>
      </c>
      <c r="Q22" s="6">
        <f t="shared" si="10"/>
        <v>-0.29472658453816597</v>
      </c>
    </row>
    <row r="23" spans="1:17" x14ac:dyDescent="0.3">
      <c r="A23" s="1">
        <f t="shared" si="13"/>
        <v>13</v>
      </c>
      <c r="B23" s="6">
        <f>37.461618</f>
        <v>37.461618000000001</v>
      </c>
      <c r="C23" s="6">
        <f>0.4570267</f>
        <v>0.45702670000000001</v>
      </c>
      <c r="D23" s="6" t="s">
        <v>42</v>
      </c>
      <c r="F23" s="5">
        <f t="shared" si="11"/>
        <v>37.461618000000001</v>
      </c>
      <c r="G23" s="8">
        <f t="shared" si="5"/>
        <v>4.5702670000000003</v>
      </c>
      <c r="H23" s="3">
        <f t="shared" si="1"/>
        <v>1002.1505230769232</v>
      </c>
      <c r="I23" s="2">
        <f t="shared" si="2"/>
        <v>171.20959651200602</v>
      </c>
      <c r="K23" s="6">
        <f t="shared" si="3"/>
        <v>171.20959651200602</v>
      </c>
      <c r="L23" s="32">
        <f t="shared" si="12"/>
        <v>4.5702670000000003</v>
      </c>
      <c r="M23">
        <f t="shared" si="7"/>
        <v>0</v>
      </c>
      <c r="O23">
        <f t="shared" si="8"/>
        <v>-2.7609109912698919</v>
      </c>
      <c r="P23" s="1" t="str">
        <f t="shared" si="9"/>
        <v xml:space="preserve"> </v>
      </c>
      <c r="Q23" s="6">
        <f t="shared" si="10"/>
        <v>-0.33682742676352301</v>
      </c>
    </row>
    <row r="24" spans="1:17" x14ac:dyDescent="0.3">
      <c r="A24" s="1">
        <f t="shared" si="13"/>
        <v>14</v>
      </c>
      <c r="B24" s="6">
        <f>37.29907</f>
        <v>37.29907</v>
      </c>
      <c r="C24" s="6">
        <f>0.46231432</f>
        <v>0.46231432</v>
      </c>
      <c r="D24" s="6" t="s">
        <v>43</v>
      </c>
      <c r="F24" s="5">
        <f t="shared" si="11"/>
        <v>37.29907</v>
      </c>
      <c r="G24" s="8">
        <f t="shared" si="5"/>
        <v>4.6231432000000003</v>
      </c>
      <c r="H24" s="3">
        <f t="shared" si="1"/>
        <v>1003.3561076923078</v>
      </c>
      <c r="I24" s="2">
        <f t="shared" si="2"/>
        <v>172.43894183682403</v>
      </c>
      <c r="K24" s="6">
        <f t="shared" si="3"/>
        <v>172.43894183682403</v>
      </c>
      <c r="L24" s="32">
        <f t="shared" si="12"/>
        <v>4.6231432000000003</v>
      </c>
      <c r="M24">
        <f t="shared" ref="M24:M50" si="14">(L24-G24)*100/G24</f>
        <v>0</v>
      </c>
      <c r="O24">
        <f t="shared" si="8"/>
        <v>-3.0741240860727683</v>
      </c>
      <c r="P24" s="1" t="str">
        <f t="shared" si="9"/>
        <v xml:space="preserve"> </v>
      </c>
      <c r="Q24" s="6">
        <f t="shared" si="10"/>
        <v>-0.3810313732884904</v>
      </c>
    </row>
    <row r="25" spans="1:17" x14ac:dyDescent="0.3">
      <c r="A25" s="1">
        <f t="shared" si="13"/>
        <v>15</v>
      </c>
      <c r="B25" s="6">
        <f>37.126362</f>
        <v>37.126362</v>
      </c>
      <c r="C25" s="6">
        <f>0.46779054</f>
        <v>0.46779053999999998</v>
      </c>
      <c r="D25" s="6" t="s">
        <v>44</v>
      </c>
      <c r="F25" s="5">
        <f t="shared" si="11"/>
        <v>37.126362</v>
      </c>
      <c r="G25" s="8">
        <f t="shared" si="5"/>
        <v>4.6779054000000002</v>
      </c>
      <c r="H25" s="3">
        <f t="shared" si="1"/>
        <v>1003.4960461538462</v>
      </c>
      <c r="I25" s="2">
        <f t="shared" si="2"/>
        <v>173.67360928215481</v>
      </c>
      <c r="K25" s="6">
        <f t="shared" si="3"/>
        <v>173.67360928215481</v>
      </c>
      <c r="L25" s="32">
        <f t="shared" si="12"/>
        <v>4.6779054000000002</v>
      </c>
      <c r="M25">
        <f t="shared" ref="M25:M37" si="15">(L25-G25)*100/G25</f>
        <v>0</v>
      </c>
      <c r="O25">
        <f t="shared" si="8"/>
        <v>-3.1537812578749667</v>
      </c>
      <c r="P25" s="1" t="str">
        <f t="shared" si="9"/>
        <v xml:space="preserve"> </v>
      </c>
      <c r="Q25" s="6">
        <f t="shared" si="10"/>
        <v>-0.39737506132790767</v>
      </c>
    </row>
    <row r="26" spans="1:17" x14ac:dyDescent="0.3">
      <c r="A26" s="1">
        <f t="shared" si="13"/>
        <v>16</v>
      </c>
      <c r="B26" s="6">
        <f>36.984132</f>
        <v>36.984132000000002</v>
      </c>
      <c r="C26" s="6">
        <f>0.47195358</f>
        <v>0.47195357999999998</v>
      </c>
      <c r="D26" s="6" t="s">
        <v>45</v>
      </c>
      <c r="F26" s="5">
        <f t="shared" si="11"/>
        <v>36.984132000000002</v>
      </c>
      <c r="G26" s="8">
        <f t="shared" si="5"/>
        <v>4.7195358000000001</v>
      </c>
      <c r="H26" s="3">
        <f t="shared" si="1"/>
        <v>1002.5918615384617</v>
      </c>
      <c r="I26" s="2">
        <f t="shared" si="2"/>
        <v>174.54793500592561</v>
      </c>
      <c r="K26" s="6">
        <f t="shared" si="3"/>
        <v>174.54793500592561</v>
      </c>
      <c r="L26" s="32">
        <f t="shared" si="12"/>
        <v>4.7195358000000001</v>
      </c>
      <c r="M26">
        <f t="shared" si="15"/>
        <v>0</v>
      </c>
      <c r="O26">
        <f t="shared" si="8"/>
        <v>-3.4164937161304811</v>
      </c>
      <c r="P26" s="1" t="str">
        <f t="shared" si="9"/>
        <v xml:space="preserve"> </v>
      </c>
      <c r="Q26" s="6">
        <f t="shared" si="10"/>
        <v>-0.43597790543665704</v>
      </c>
    </row>
    <row r="27" spans="1:17" x14ac:dyDescent="0.3">
      <c r="A27" s="1">
        <f t="shared" si="13"/>
        <v>17</v>
      </c>
      <c r="B27" s="6">
        <f>36.799088</f>
        <v>36.799087999999998</v>
      </c>
      <c r="C27" s="6">
        <f>0.47729709</f>
        <v>0.47729708999999998</v>
      </c>
      <c r="D27" s="6" t="s">
        <v>46</v>
      </c>
      <c r="F27" s="5">
        <f t="shared" si="11"/>
        <v>36.799087999999998</v>
      </c>
      <c r="G27" s="8">
        <f t="shared" si="5"/>
        <v>4.7729708999999998</v>
      </c>
      <c r="H27" s="3">
        <f t="shared" si="1"/>
        <v>1002.3227538461539</v>
      </c>
      <c r="I27" s="2">
        <f t="shared" si="2"/>
        <v>175.64097617053918</v>
      </c>
      <c r="K27" s="6">
        <f t="shared" si="3"/>
        <v>175.64097617053918</v>
      </c>
      <c r="L27" s="32">
        <f t="shared" si="12"/>
        <v>4.7729708999999998</v>
      </c>
      <c r="M27">
        <f t="shared" si="15"/>
        <v>0</v>
      </c>
      <c r="O27">
        <f t="shared" si="8"/>
        <v>-3.4629672256626409</v>
      </c>
      <c r="P27" s="1" t="str">
        <f t="shared" si="9"/>
        <v xml:space="preserve"> </v>
      </c>
      <c r="Q27" s="6">
        <f t="shared" si="10"/>
        <v>-0.44915900621617355</v>
      </c>
    </row>
    <row r="28" spans="1:17" x14ac:dyDescent="0.3">
      <c r="A28" s="1">
        <f t="shared" si="13"/>
        <v>18</v>
      </c>
      <c r="B28" s="6">
        <f>36.602434</f>
        <v>36.602434000000002</v>
      </c>
      <c r="C28" s="6">
        <f>0.48247994</f>
        <v>0.48247994</v>
      </c>
      <c r="D28" s="6" t="s">
        <v>47</v>
      </c>
      <c r="F28" s="5">
        <f t="shared" si="11"/>
        <v>36.602434000000002</v>
      </c>
      <c r="G28" s="8">
        <f t="shared" si="5"/>
        <v>4.8247993999999998</v>
      </c>
      <c r="H28" s="3">
        <f t="shared" si="1"/>
        <v>1004.970723076923</v>
      </c>
      <c r="I28" s="2">
        <f t="shared" si="2"/>
        <v>176.5994016017396</v>
      </c>
      <c r="K28" s="6">
        <f t="shared" si="3"/>
        <v>176.5994016017396</v>
      </c>
      <c r="L28" s="32">
        <f t="shared" si="12"/>
        <v>4.8247993999999998</v>
      </c>
      <c r="M28">
        <f t="shared" si="15"/>
        <v>0</v>
      </c>
      <c r="O28">
        <f t="shared" si="8"/>
        <v>-3.79432165700329</v>
      </c>
      <c r="P28" s="1" t="str">
        <f t="shared" si="9"/>
        <v xml:space="preserve"> </v>
      </c>
      <c r="Q28" s="6">
        <f t="shared" si="10"/>
        <v>-0.50015364699835207</v>
      </c>
    </row>
    <row r="29" spans="1:17" x14ac:dyDescent="0.3">
      <c r="A29" s="1">
        <f t="shared" si="13"/>
        <v>19</v>
      </c>
      <c r="B29" s="6">
        <f>36.393443</f>
        <v>36.393442999999998</v>
      </c>
      <c r="C29" s="6">
        <f>0.48770469</f>
        <v>0.48770469</v>
      </c>
      <c r="D29" s="6" t="s">
        <v>48</v>
      </c>
      <c r="F29" s="5">
        <f t="shared" si="11"/>
        <v>36.393442999999998</v>
      </c>
      <c r="G29" s="8">
        <f t="shared" si="5"/>
        <v>4.8770468999999999</v>
      </c>
      <c r="H29" s="3">
        <f t="shared" si="1"/>
        <v>1003.9588923076923</v>
      </c>
      <c r="I29" s="2">
        <f t="shared" si="2"/>
        <v>177.49252836347668</v>
      </c>
      <c r="K29" s="6">
        <f t="shared" si="3"/>
        <v>177.49252836347668</v>
      </c>
      <c r="L29" s="32">
        <f t="shared" si="12"/>
        <v>4.8770468999999999</v>
      </c>
      <c r="M29">
        <f t="shared" si="15"/>
        <v>0</v>
      </c>
      <c r="O29">
        <f t="shared" si="8"/>
        <v>-4.0000191396718421</v>
      </c>
      <c r="P29" s="1" t="str">
        <f t="shared" si="9"/>
        <v xml:space="preserve"> </v>
      </c>
      <c r="Q29" s="6">
        <f t="shared" si="10"/>
        <v>-0.53603834473911205</v>
      </c>
    </row>
    <row r="30" spans="1:17" x14ac:dyDescent="0.3">
      <c r="A30" s="1">
        <f t="shared" si="13"/>
        <v>20</v>
      </c>
      <c r="B30" s="6">
        <f>36.124947</f>
        <v>36.124946999999999</v>
      </c>
      <c r="C30" s="6">
        <f>0.49398418</f>
        <v>0.49398417999999999</v>
      </c>
      <c r="D30" s="6" t="s">
        <v>49</v>
      </c>
      <c r="F30" s="5">
        <f t="shared" si="11"/>
        <v>36.124946999999999</v>
      </c>
      <c r="G30" s="8">
        <f t="shared" si="5"/>
        <v>4.9398417999999999</v>
      </c>
      <c r="H30" s="3">
        <f t="shared" si="1"/>
        <v>1004.9169076923079</v>
      </c>
      <c r="I30" s="2">
        <f t="shared" si="2"/>
        <v>178.4515232133846</v>
      </c>
      <c r="K30" s="6">
        <f t="shared" si="3"/>
        <v>178.421113233</v>
      </c>
      <c r="L30" s="32">
        <v>4.9390000000000001</v>
      </c>
      <c r="M30">
        <f t="shared" si="15"/>
        <v>-1.7041031556919346E-2</v>
      </c>
      <c r="O30">
        <f t="shared" si="8"/>
        <v>-4.3338589997917465</v>
      </c>
      <c r="P30" s="1" t="str">
        <f t="shared" si="9"/>
        <v xml:space="preserve"> </v>
      </c>
      <c r="Q30" s="6">
        <f t="shared" si="10"/>
        <v>-0.59252487207722238</v>
      </c>
    </row>
    <row r="31" spans="1:17" x14ac:dyDescent="0.3">
      <c r="A31" s="1">
        <f t="shared" si="13"/>
        <v>21</v>
      </c>
      <c r="B31" s="6">
        <f>35.966753</f>
        <v>35.966752999999997</v>
      </c>
      <c r="C31" s="6">
        <f>0.49707154</f>
        <v>0.49707153999999998</v>
      </c>
      <c r="D31" s="6" t="s">
        <v>50</v>
      </c>
      <c r="F31" s="5">
        <f t="shared" si="11"/>
        <v>35.966752999999997</v>
      </c>
      <c r="G31" s="8">
        <f t="shared" si="5"/>
        <v>4.9707153999999996</v>
      </c>
      <c r="H31" s="3">
        <f t="shared" si="1"/>
        <v>1003.3022923076923</v>
      </c>
      <c r="I31" s="2">
        <f t="shared" si="2"/>
        <v>178.78049302509618</v>
      </c>
      <c r="K31" s="6">
        <f t="shared" si="3"/>
        <v>178.86266266899997</v>
      </c>
      <c r="L31" s="32">
        <v>4.9729999999999999</v>
      </c>
      <c r="M31">
        <f t="shared" si="15"/>
        <v>4.5961191018908533E-2</v>
      </c>
      <c r="O31">
        <f t="shared" si="8"/>
        <v>-4.6527647058824302</v>
      </c>
      <c r="P31" s="1" t="str">
        <f t="shared" si="9"/>
        <v xml:space="preserve"> </v>
      </c>
      <c r="Q31" s="6">
        <f t="shared" si="10"/>
        <v>-0.64332187235120508</v>
      </c>
    </row>
    <row r="32" spans="1:17" x14ac:dyDescent="0.3">
      <c r="A32" s="1">
        <f t="shared" si="13"/>
        <v>22</v>
      </c>
      <c r="B32" s="6">
        <f>35.862258</f>
        <v>35.862257999999997</v>
      </c>
      <c r="C32" s="6">
        <f>0.49943246</f>
        <v>0.49943246000000002</v>
      </c>
      <c r="D32" s="6" t="s">
        <v>51</v>
      </c>
      <c r="F32" s="5">
        <f t="shared" si="11"/>
        <v>35.862257999999997</v>
      </c>
      <c r="G32" s="8">
        <f t="shared" si="5"/>
        <v>4.9943246000000006</v>
      </c>
      <c r="H32" s="3">
        <f t="shared" si="1"/>
        <v>1005.0245538461538</v>
      </c>
      <c r="I32" s="2">
        <f t="shared" si="2"/>
        <v>179.10775734094682</v>
      </c>
      <c r="K32" s="6">
        <f t="shared" si="3"/>
        <v>179.09611645199999</v>
      </c>
      <c r="L32" s="32">
        <v>4.9939999999999998</v>
      </c>
      <c r="M32">
        <f t="shared" si="15"/>
        <v>-6.4993773132163927E-3</v>
      </c>
      <c r="O32">
        <f t="shared" si="8"/>
        <v>-4.9759523809524033</v>
      </c>
      <c r="P32" s="1" t="str">
        <f t="shared" si="9"/>
        <v xml:space="preserve"> </v>
      </c>
      <c r="Q32" s="6">
        <f t="shared" si="10"/>
        <v>-0.69292642394341997</v>
      </c>
    </row>
    <row r="33" spans="1:21" x14ac:dyDescent="0.3">
      <c r="A33" s="1">
        <f t="shared" si="13"/>
        <v>23</v>
      </c>
      <c r="B33" s="6">
        <f>35.77155</f>
        <v>35.771549999999998</v>
      </c>
      <c r="C33" s="6">
        <f>0.50101107</f>
        <v>0.50101107</v>
      </c>
      <c r="D33" s="6" t="s">
        <v>52</v>
      </c>
      <c r="F33" s="5">
        <f t="shared" si="11"/>
        <v>35.771549999999998</v>
      </c>
      <c r="G33" s="8">
        <f t="shared" si="5"/>
        <v>5.0101107000000003</v>
      </c>
      <c r="H33" s="3">
        <f t="shared" si="1"/>
        <v>1002.3873384615384</v>
      </c>
      <c r="I33" s="2">
        <f t="shared" si="2"/>
        <v>179.21942541058499</v>
      </c>
      <c r="K33" s="6">
        <f t="shared" si="3"/>
        <v>179.26912282499998</v>
      </c>
      <c r="L33" s="32">
        <v>5.0114999999999998</v>
      </c>
      <c r="M33">
        <f t="shared" si="15"/>
        <v>2.7729926207011625E-2</v>
      </c>
      <c r="O33">
        <f t="shared" si="8"/>
        <v>-5.1833142857142276</v>
      </c>
      <c r="P33" s="1" t="str">
        <f t="shared" si="9"/>
        <v xml:space="preserve"> </v>
      </c>
      <c r="Q33" s="6">
        <f t="shared" si="10"/>
        <v>-0.72616868832513137</v>
      </c>
    </row>
    <row r="34" spans="1:21" x14ac:dyDescent="0.3">
      <c r="A34" s="1">
        <f t="shared" si="13"/>
        <v>24</v>
      </c>
      <c r="B34" s="6">
        <f>35.671408</f>
        <v>35.671408</v>
      </c>
      <c r="C34" s="6">
        <f>0.50302972</f>
        <v>0.50302972000000001</v>
      </c>
      <c r="D34" s="6" t="s">
        <v>53</v>
      </c>
      <c r="F34" s="5">
        <f t="shared" si="11"/>
        <v>35.671408</v>
      </c>
      <c r="G34" s="8">
        <f t="shared" si="5"/>
        <v>5.0302971999999997</v>
      </c>
      <c r="H34" s="3">
        <f t="shared" si="1"/>
        <v>1002.8071384615383</v>
      </c>
      <c r="I34" s="2">
        <f t="shared" si="2"/>
        <v>179.43778378245759</v>
      </c>
      <c r="K34" s="6">
        <f t="shared" si="3"/>
        <v>179.42361509919999</v>
      </c>
      <c r="L34" s="32">
        <v>5.0298999999999996</v>
      </c>
      <c r="M34">
        <f t="shared" si="15"/>
        <v>-7.8961537302427685E-3</v>
      </c>
      <c r="O34">
        <f t="shared" si="8"/>
        <v>-5.442499999999975</v>
      </c>
      <c r="P34" s="1" t="str">
        <f t="shared" si="9"/>
        <v xml:space="preserve"> </v>
      </c>
      <c r="Q34" s="6">
        <f t="shared" si="10"/>
        <v>-0.76742781641812041</v>
      </c>
    </row>
    <row r="35" spans="1:21" x14ac:dyDescent="0.3">
      <c r="A35" s="1">
        <f t="shared" si="13"/>
        <v>25</v>
      </c>
      <c r="B35" s="6">
        <f>35.604647</f>
        <v>35.604647</v>
      </c>
      <c r="C35" s="6">
        <f>0.50434988</f>
        <v>0.50434988000000003</v>
      </c>
      <c r="D35" s="6" t="s">
        <v>50</v>
      </c>
      <c r="F35" s="5">
        <f t="shared" si="11"/>
        <v>35.604647</v>
      </c>
      <c r="G35" s="8">
        <f t="shared" si="5"/>
        <v>5.0434988000000001</v>
      </c>
      <c r="H35" s="3">
        <f t="shared" si="1"/>
        <v>1003.3022923076923</v>
      </c>
      <c r="I35" s="2">
        <f t="shared" si="2"/>
        <v>179.57199441892359</v>
      </c>
      <c r="K35" s="6">
        <f t="shared" si="3"/>
        <v>179.51863017399998</v>
      </c>
      <c r="L35" s="32">
        <v>5.0419999999999998</v>
      </c>
      <c r="M35">
        <f t="shared" si="15"/>
        <v>-2.9717465185086282E-2</v>
      </c>
      <c r="O35">
        <f t="shared" si="8"/>
        <v>-5.5174380165287937</v>
      </c>
      <c r="P35" s="1" t="str">
        <f t="shared" si="9"/>
        <v xml:space="preserve"> </v>
      </c>
      <c r="Q35" s="6">
        <f t="shared" si="10"/>
        <v>-0.78132841702764744</v>
      </c>
      <c r="T35" s="9"/>
      <c r="U35" t="s">
        <v>13</v>
      </c>
    </row>
    <row r="36" spans="1:21" x14ac:dyDescent="0.3">
      <c r="A36" s="1">
        <f t="shared" si="13"/>
        <v>26</v>
      </c>
      <c r="B36" s="6">
        <f>35.42686</f>
        <v>35.426859999999998</v>
      </c>
      <c r="C36" s="6">
        <f>0.50715086</f>
        <v>0.50715085999999998</v>
      </c>
      <c r="D36" s="6" t="s">
        <v>54</v>
      </c>
      <c r="F36" s="5">
        <f t="shared" si="11"/>
        <v>35.426859999999998</v>
      </c>
      <c r="G36" s="8">
        <f t="shared" si="5"/>
        <v>5.0715085999999996</v>
      </c>
      <c r="H36" s="3">
        <f t="shared" si="1"/>
        <v>1004.9922615384614</v>
      </c>
      <c r="I36" s="2">
        <f t="shared" si="2"/>
        <v>179.66762516099598</v>
      </c>
      <c r="K36" s="6">
        <f t="shared" si="3"/>
        <v>179.73817420999998</v>
      </c>
      <c r="L36" s="32">
        <v>5.0735000000000001</v>
      </c>
      <c r="M36">
        <f t="shared" si="15"/>
        <v>3.9266422618321729E-2</v>
      </c>
      <c r="O36">
        <f t="shared" si="8"/>
        <v>-5.6440317460317591</v>
      </c>
      <c r="P36" s="1" t="str">
        <f t="shared" si="9"/>
        <v xml:space="preserve"> </v>
      </c>
      <c r="Q36" s="6">
        <f t="shared" si="10"/>
        <v>-0.80828487377916447</v>
      </c>
    </row>
    <row r="37" spans="1:21" x14ac:dyDescent="0.3">
      <c r="A37" s="1">
        <f t="shared" si="13"/>
        <v>27</v>
      </c>
      <c r="B37" s="35">
        <f>35.336421</f>
        <v>35.336421000000001</v>
      </c>
      <c r="C37" s="35">
        <f>0.50854063</f>
        <v>0.50854063000000005</v>
      </c>
      <c r="D37" s="35">
        <v>6.5254677999999997E-2</v>
      </c>
      <c r="F37" s="5">
        <f t="shared" si="11"/>
        <v>35.336421000000001</v>
      </c>
      <c r="G37" s="8">
        <f t="shared" si="5"/>
        <v>5.0854063000000007</v>
      </c>
      <c r="H37" s="3">
        <f t="shared" si="1"/>
        <v>1003.9181230769231</v>
      </c>
      <c r="I37" s="2">
        <f t="shared" si="2"/>
        <v>179.70005797285233</v>
      </c>
      <c r="K37" s="6">
        <f t="shared" si="3"/>
        <v>179.8093782585</v>
      </c>
      <c r="L37" s="32">
        <v>5.0884999999999998</v>
      </c>
      <c r="M37">
        <f t="shared" si="15"/>
        <v>6.0834863873100727E-2</v>
      </c>
      <c r="O37">
        <f t="shared" si="8"/>
        <v>-6.0292666666665538</v>
      </c>
      <c r="P37" s="1" t="str">
        <f t="shared" si="9"/>
        <v xml:space="preserve"> </v>
      </c>
      <c r="Q37" s="6">
        <f t="shared" si="10"/>
        <v>-0.86822384851405177</v>
      </c>
      <c r="T37" s="31">
        <f>MAX(K11:K70)</f>
        <v>179.88566012999999</v>
      </c>
      <c r="U37" t="s">
        <v>15</v>
      </c>
    </row>
    <row r="38" spans="1:21" x14ac:dyDescent="0.3">
      <c r="A38" s="1">
        <f t="shared" si="13"/>
        <v>28</v>
      </c>
      <c r="B38" s="6">
        <f>35.203356</f>
        <v>35.203355999999999</v>
      </c>
      <c r="C38" s="6">
        <f>0.51051761</f>
        <v>0.51051760999999996</v>
      </c>
      <c r="D38" s="6">
        <v>6.5197856999999998E-2</v>
      </c>
      <c r="F38" s="5">
        <f t="shared" si="11"/>
        <v>35.203355999999999</v>
      </c>
      <c r="G38" s="8">
        <f t="shared" si="5"/>
        <v>5.1051760999999996</v>
      </c>
      <c r="H38" s="3">
        <f t="shared" si="1"/>
        <v>1003.0439538461538</v>
      </c>
      <c r="I38" s="2">
        <f t="shared" si="2"/>
        <v>179.71933169099159</v>
      </c>
      <c r="K38" s="6">
        <f t="shared" si="3"/>
        <v>179.85394580400001</v>
      </c>
      <c r="L38" s="32">
        <v>5.109</v>
      </c>
      <c r="M38">
        <f t="shared" si="14"/>
        <v>7.4902411299787197E-2</v>
      </c>
      <c r="O38">
        <f t="shared" si="8"/>
        <v>-6.490975609756136</v>
      </c>
      <c r="P38" s="1" t="str">
        <f t="shared" si="9"/>
        <v xml:space="preserve"> </v>
      </c>
      <c r="Q38" s="6">
        <f t="shared" si="10"/>
        <v>-0.94202366360309797</v>
      </c>
    </row>
    <row r="39" spans="1:21" x14ac:dyDescent="0.3">
      <c r="A39" s="1">
        <f t="shared" si="13"/>
        <v>29</v>
      </c>
      <c r="B39" s="6">
        <f>35.157639</f>
        <v>35.157639000000003</v>
      </c>
      <c r="C39" s="6">
        <f>0.51158631</f>
        <v>0.51158630999999999</v>
      </c>
      <c r="D39" s="6" t="s">
        <v>55</v>
      </c>
      <c r="F39" s="5">
        <f t="shared" si="11"/>
        <v>35.157639000000003</v>
      </c>
      <c r="G39" s="8">
        <f t="shared" si="5"/>
        <v>5.1158631000000003</v>
      </c>
      <c r="H39" s="3">
        <f t="shared" si="1"/>
        <v>1001.7522615384617</v>
      </c>
      <c r="I39" s="2">
        <f t="shared" si="2"/>
        <v>179.86166804322093</v>
      </c>
      <c r="K39" s="6">
        <f t="shared" si="3"/>
        <v>179.86648112400002</v>
      </c>
      <c r="L39" s="32">
        <v>5.1159999999999997</v>
      </c>
      <c r="M39">
        <f t="shared" si="14"/>
        <v>2.6759902937850159E-3</v>
      </c>
      <c r="O39">
        <f t="shared" si="8"/>
        <v>-6.530999999999767</v>
      </c>
      <c r="P39" s="1" t="str">
        <f t="shared" si="9"/>
        <v xml:space="preserve"> </v>
      </c>
      <c r="Q39" s="6">
        <f t="shared" si="10"/>
        <v>-0.95036518237185397</v>
      </c>
    </row>
    <row r="40" spans="1:21" x14ac:dyDescent="0.3">
      <c r="A40" s="1">
        <f t="shared" si="13"/>
        <v>30</v>
      </c>
      <c r="B40" s="6">
        <f>35.079</f>
        <v>35.079000000000001</v>
      </c>
      <c r="C40" s="6">
        <f>0.51292743</f>
        <v>0.51292742999999996</v>
      </c>
      <c r="D40" s="6" t="s">
        <v>56</v>
      </c>
      <c r="F40" s="5">
        <f t="shared" si="11"/>
        <v>35.079000000000001</v>
      </c>
      <c r="G40" s="8">
        <f t="shared" si="5"/>
        <v>5.1292742999999996</v>
      </c>
      <c r="H40" s="3">
        <f t="shared" si="1"/>
        <v>1003.3668769230768</v>
      </c>
      <c r="I40" s="2">
        <f t="shared" si="2"/>
        <v>179.9298131697</v>
      </c>
      <c r="K40" s="6">
        <f t="shared" si="3"/>
        <v>179.88511200000002</v>
      </c>
      <c r="L40" s="32">
        <v>5.1280000000000001</v>
      </c>
      <c r="M40">
        <f t="shared" si="14"/>
        <v>-2.4843670380418268E-2</v>
      </c>
      <c r="O40">
        <f t="shared" si="8"/>
        <v>-6.5532499999999656</v>
      </c>
      <c r="P40" s="1" t="str">
        <f t="shared" si="9"/>
        <v xml:space="preserve"> </v>
      </c>
      <c r="Q40" s="6">
        <f t="shared" si="10"/>
        <v>-0.95798243963624463</v>
      </c>
    </row>
    <row r="41" spans="1:21" x14ac:dyDescent="0.3">
      <c r="A41" s="1">
        <f t="shared" si="13"/>
        <v>31</v>
      </c>
      <c r="B41" s="35">
        <f>34.956405</f>
        <v>34.956404999999997</v>
      </c>
      <c r="C41" s="35">
        <f>0.51455223</f>
        <v>0.51455223000000005</v>
      </c>
      <c r="D41" s="35">
        <v>6.5205643999999993E-2</v>
      </c>
      <c r="F41" s="5">
        <f t="shared" si="11"/>
        <v>34.956404999999997</v>
      </c>
      <c r="G41" s="8">
        <f t="shared" si="5"/>
        <v>5.1455223000000005</v>
      </c>
      <c r="H41" s="3">
        <f t="shared" si="1"/>
        <v>1003.1637538461538</v>
      </c>
      <c r="I41" s="2">
        <f t="shared" si="2"/>
        <v>179.86896145533152</v>
      </c>
      <c r="K41" s="6">
        <f>F41*L41</f>
        <v>179.88566012999999</v>
      </c>
      <c r="L41" s="32">
        <v>5.1459999999999999</v>
      </c>
      <c r="M41">
        <f t="shared" si="14"/>
        <v>9.2838000138364789E-3</v>
      </c>
      <c r="O41">
        <f t="shared" si="8"/>
        <v>-6.8108333333336342</v>
      </c>
      <c r="P41" s="1" t="str">
        <f t="shared" si="9"/>
        <v xml:space="preserve"> </v>
      </c>
      <c r="Q41" s="6">
        <f t="shared" si="10"/>
        <v>-1.0026359499306319</v>
      </c>
    </row>
    <row r="42" spans="1:21" x14ac:dyDescent="0.3">
      <c r="A42" s="1">
        <f t="shared" si="13"/>
        <v>32</v>
      </c>
      <c r="B42" s="6">
        <f>34.810772</f>
        <v>34.810772</v>
      </c>
      <c r="C42" s="6">
        <f>0.51647579</f>
        <v>0.51647578999999999</v>
      </c>
      <c r="D42" s="6">
        <f>0.065133487</f>
        <v>6.5133487000000004E-2</v>
      </c>
      <c r="F42" s="5">
        <f t="shared" si="11"/>
        <v>34.810772</v>
      </c>
      <c r="G42" s="8">
        <f t="shared" si="5"/>
        <v>5.1647578999999997</v>
      </c>
      <c r="H42" s="3">
        <f t="shared" si="1"/>
        <v>1002.0536461538462</v>
      </c>
      <c r="I42" s="2">
        <f t="shared" si="2"/>
        <v>179.78920969209878</v>
      </c>
      <c r="K42" s="6">
        <f t="shared" ref="K42:K50" si="16">F42*L42</f>
        <v>179.867258924</v>
      </c>
      <c r="L42" s="32">
        <v>5.1669999999999998</v>
      </c>
      <c r="M42">
        <f t="shared" si="14"/>
        <v>4.3411521767557311E-2</v>
      </c>
      <c r="O42">
        <f t="shared" si="8"/>
        <v>-6.9349047619046287</v>
      </c>
      <c r="P42" s="1" t="str">
        <f t="shared" si="9"/>
        <v xml:space="preserve"> </v>
      </c>
      <c r="Q42" s="6">
        <f t="shared" si="10"/>
        <v>-1.0293553071664487</v>
      </c>
    </row>
    <row r="43" spans="1:21" x14ac:dyDescent="0.3">
      <c r="A43" s="1">
        <f t="shared" si="13"/>
        <v>33</v>
      </c>
      <c r="B43" s="35">
        <f>34.709651</f>
        <v>34.709651000000001</v>
      </c>
      <c r="C43" s="35">
        <f>0.51786869</f>
        <v>0.51786869000000002</v>
      </c>
      <c r="D43" s="35">
        <v>6.5098545999999993E-2</v>
      </c>
      <c r="F43" s="5">
        <f t="shared" si="11"/>
        <v>34.709651000000001</v>
      </c>
      <c r="G43" s="8">
        <f t="shared" si="5"/>
        <v>5.1786869000000006</v>
      </c>
      <c r="H43" s="3">
        <f t="shared" si="1"/>
        <v>1001.5160923076922</v>
      </c>
      <c r="I43" s="2">
        <f t="shared" si="2"/>
        <v>179.75041493727193</v>
      </c>
      <c r="K43" s="6">
        <f t="shared" si="16"/>
        <v>179.830701831</v>
      </c>
      <c r="L43" s="32">
        <v>5.181</v>
      </c>
      <c r="M43">
        <f t="shared" si="14"/>
        <v>4.4665762666582558E-2</v>
      </c>
      <c r="O43">
        <f t="shared" si="8"/>
        <v>-7.2229285714283886</v>
      </c>
      <c r="P43" s="1" t="str">
        <f t="shared" si="9"/>
        <v xml:space="preserve"> </v>
      </c>
      <c r="Q43" s="6">
        <f t="shared" si="10"/>
        <v>-1.0781437395775164</v>
      </c>
    </row>
    <row r="44" spans="1:21" x14ac:dyDescent="0.3">
      <c r="A44" s="1">
        <f t="shared" si="13"/>
        <v>34</v>
      </c>
      <c r="B44" s="6">
        <f>34.596702</f>
        <v>34.596702000000001</v>
      </c>
      <c r="C44" s="6">
        <f>0.5194025</f>
        <v>0.51940249999999999</v>
      </c>
      <c r="D44" s="6" t="s">
        <v>57</v>
      </c>
      <c r="F44" s="5">
        <f t="shared" si="11"/>
        <v>34.596702000000001</v>
      </c>
      <c r="G44" s="8">
        <f t="shared" si="5"/>
        <v>5.1940249999999999</v>
      </c>
      <c r="H44" s="3">
        <f t="shared" si="1"/>
        <v>1002.9255384615384</v>
      </c>
      <c r="I44" s="2">
        <f t="shared" si="2"/>
        <v>179.69613510555001</v>
      </c>
      <c r="K44" s="6">
        <f t="shared" si="16"/>
        <v>179.764463592</v>
      </c>
      <c r="L44" s="32">
        <v>5.1959999999999997</v>
      </c>
      <c r="M44">
        <f t="shared" si="14"/>
        <v>3.8024460798703086E-2</v>
      </c>
      <c r="O44">
        <f t="shared" si="8"/>
        <v>-7.5299333333335214</v>
      </c>
      <c r="P44" s="1" t="str">
        <f t="shared" si="9"/>
        <v xml:space="preserve"> </v>
      </c>
      <c r="Q44" s="6">
        <f t="shared" si="10"/>
        <v>-1.1309035641605658</v>
      </c>
    </row>
    <row r="45" spans="1:21" x14ac:dyDescent="0.3">
      <c r="A45" s="1">
        <f t="shared" si="13"/>
        <v>35</v>
      </c>
      <c r="B45" s="6">
        <f>34.513976</f>
        <v>34.513976</v>
      </c>
      <c r="C45" s="6">
        <f>0.5211208</f>
        <v>0.52112080000000005</v>
      </c>
      <c r="D45" s="6" t="s">
        <v>58</v>
      </c>
      <c r="F45" s="5">
        <f t="shared" si="11"/>
        <v>34.513976</v>
      </c>
      <c r="G45" s="8">
        <f t="shared" si="5"/>
        <v>5.211208000000001</v>
      </c>
      <c r="H45" s="3">
        <f t="shared" si="1"/>
        <v>1002.3765692307692</v>
      </c>
      <c r="I45" s="2">
        <f t="shared" si="2"/>
        <v>179.85950784300803</v>
      </c>
      <c r="K45" s="6">
        <f t="shared" si="16"/>
        <v>179.69701604400001</v>
      </c>
      <c r="L45" s="32">
        <v>5.2065000000000001</v>
      </c>
      <c r="M45">
        <f t="shared" si="14"/>
        <v>-9.0343736039720957E-2</v>
      </c>
      <c r="O45">
        <f t="shared" si="8"/>
        <v>-7.8786666666664598</v>
      </c>
      <c r="P45" s="1" t="str">
        <f t="shared" si="9"/>
        <v xml:space="preserve"> </v>
      </c>
      <c r="Q45" s="6">
        <f t="shared" si="10"/>
        <v>-1.1885120972442853</v>
      </c>
    </row>
    <row r="46" spans="1:21" x14ac:dyDescent="0.3">
      <c r="A46" s="1">
        <f t="shared" si="13"/>
        <v>36</v>
      </c>
      <c r="B46" s="6">
        <f>34.398596</f>
        <v>34.398595999999998</v>
      </c>
      <c r="C46" s="6">
        <f>0.52187518</f>
        <v>0.52187517999999999</v>
      </c>
      <c r="D46" s="6" t="s">
        <v>59</v>
      </c>
      <c r="F46" s="5">
        <f t="shared" si="11"/>
        <v>34.398595999999998</v>
      </c>
      <c r="G46" s="8">
        <f t="shared" si="5"/>
        <v>5.2187517999999997</v>
      </c>
      <c r="H46" s="3">
        <f t="shared" si="1"/>
        <v>1003.3776307692308</v>
      </c>
      <c r="I46" s="2">
        <f t="shared" si="2"/>
        <v>179.51773479247277</v>
      </c>
      <c r="K46" s="6">
        <f t="shared" si="16"/>
        <v>179.56067111999997</v>
      </c>
      <c r="L46" s="32">
        <v>5.22</v>
      </c>
      <c r="M46">
        <f t="shared" si="14"/>
        <v>2.3917596540997267E-2</v>
      </c>
      <c r="O46">
        <f t="shared" si="8"/>
        <v>-8.5466666666670399</v>
      </c>
      <c r="P46" s="1" t="str">
        <f t="shared" si="9"/>
        <v xml:space="preserve"> </v>
      </c>
      <c r="Q46" s="6">
        <f t="shared" si="10"/>
        <v>-1.2969599108057186</v>
      </c>
    </row>
    <row r="47" spans="1:21" x14ac:dyDescent="0.3">
      <c r="A47" s="1">
        <f t="shared" si="13"/>
        <v>37</v>
      </c>
      <c r="B47" s="6">
        <f>34.174366</f>
        <v>34.174365999999999</v>
      </c>
      <c r="C47" s="6">
        <f>0.52480886</f>
        <v>0.52480886000000004</v>
      </c>
      <c r="D47" s="6" t="s">
        <v>60</v>
      </c>
      <c r="F47" s="5">
        <f t="shared" si="11"/>
        <v>34.174365999999999</v>
      </c>
      <c r="G47" s="8">
        <f t="shared" si="5"/>
        <v>5.2480886000000009</v>
      </c>
      <c r="H47" s="3">
        <f t="shared" si="1"/>
        <v>1002.6671999999999</v>
      </c>
      <c r="I47" s="2">
        <f t="shared" si="2"/>
        <v>179.35010061682763</v>
      </c>
      <c r="K47" s="6">
        <f t="shared" si="16"/>
        <v>179.278724036</v>
      </c>
      <c r="L47" s="32">
        <v>5.2460000000000004</v>
      </c>
      <c r="M47">
        <f t="shared" si="14"/>
        <v>-3.9797346409137221E-2</v>
      </c>
      <c r="O47">
        <f t="shared" si="8"/>
        <v>-8.6242307692304863</v>
      </c>
      <c r="P47" s="1" t="str">
        <f t="shared" si="9"/>
        <v xml:space="preserve"> </v>
      </c>
      <c r="Q47" s="6">
        <f t="shared" si="10"/>
        <v>-1.3238786819156538</v>
      </c>
    </row>
    <row r="48" spans="1:21" x14ac:dyDescent="0.3">
      <c r="A48" s="1">
        <f t="shared" si="13"/>
        <v>38</v>
      </c>
      <c r="B48" s="6">
        <f>34.026331</f>
        <v>34.026330999999999</v>
      </c>
      <c r="C48" s="6">
        <f>0.52591249</f>
        <v>0.52591248999999995</v>
      </c>
      <c r="D48" s="6" t="s">
        <v>61</v>
      </c>
      <c r="F48" s="5">
        <f t="shared" si="11"/>
        <v>34.026330999999999</v>
      </c>
      <c r="G48" s="8">
        <f t="shared" si="5"/>
        <v>5.2591248999999998</v>
      </c>
      <c r="H48" s="3">
        <f t="shared" si="1"/>
        <v>1004.1418923076923</v>
      </c>
      <c r="I48" s="2">
        <f t="shared" si="2"/>
        <v>178.94872461774187</v>
      </c>
      <c r="K48" s="6">
        <f t="shared" si="16"/>
        <v>179.07037215369999</v>
      </c>
      <c r="L48" s="32">
        <v>5.2626999999999997</v>
      </c>
      <c r="M48">
        <f t="shared" si="14"/>
        <v>6.7978990192834973E-2</v>
      </c>
      <c r="O48">
        <f t="shared" si="8"/>
        <v>-8.8643712574854252</v>
      </c>
      <c r="P48" s="1" t="str">
        <f t="shared" si="9"/>
        <v xml:space="preserve"> </v>
      </c>
      <c r="Q48" s="6">
        <f t="shared" si="10"/>
        <v>-1.3710125436906067</v>
      </c>
    </row>
    <row r="49" spans="1:17" x14ac:dyDescent="0.3">
      <c r="A49" s="1">
        <f t="shared" si="13"/>
        <v>39</v>
      </c>
      <c r="B49" s="6">
        <f>33.961747</f>
        <v>33.961747000000003</v>
      </c>
      <c r="C49" s="6">
        <f>0.52723963</f>
        <v>0.52723962999999996</v>
      </c>
      <c r="D49" s="6" t="s">
        <v>62</v>
      </c>
      <c r="F49" s="5">
        <f t="shared" si="11"/>
        <v>33.961747000000003</v>
      </c>
      <c r="G49" s="8">
        <f t="shared" si="5"/>
        <v>5.2723962999999996</v>
      </c>
      <c r="H49" s="3">
        <f t="shared" si="1"/>
        <v>1002.5487999999999</v>
      </c>
      <c r="I49" s="2">
        <f t="shared" si="2"/>
        <v>179.0597892243361</v>
      </c>
      <c r="K49" s="6">
        <f t="shared" si="16"/>
        <v>178.94444494300001</v>
      </c>
      <c r="L49" s="32">
        <v>5.2690000000000001</v>
      </c>
      <c r="M49">
        <f t="shared" si="14"/>
        <v>-6.4416629683156854E-2</v>
      </c>
      <c r="O49">
        <f t="shared" si="8"/>
        <v>-10.251428571427326</v>
      </c>
      <c r="P49" s="1" t="str">
        <f t="shared" si="9"/>
        <v xml:space="preserve"> </v>
      </c>
      <c r="Q49" s="6">
        <f t="shared" si="10"/>
        <v>-1.5904593230392587</v>
      </c>
    </row>
    <row r="50" spans="1:17" x14ac:dyDescent="0.3">
      <c r="A50" s="1">
        <f t="shared" si="13"/>
        <v>40</v>
      </c>
      <c r="B50" s="6">
        <f>33.759287</f>
        <v>33.759287</v>
      </c>
      <c r="C50" s="6">
        <f>0.5287903</f>
        <v>0.52879030000000005</v>
      </c>
      <c r="D50" s="6" t="s">
        <v>63</v>
      </c>
      <c r="F50" s="5">
        <f t="shared" si="11"/>
        <v>33.759287</v>
      </c>
      <c r="G50" s="8">
        <f t="shared" si="5"/>
        <v>5.287903</v>
      </c>
      <c r="H50" s="3">
        <f t="shared" si="1"/>
        <v>1002.3012307692308</v>
      </c>
      <c r="I50" s="2">
        <f t="shared" si="2"/>
        <v>178.51583500516099</v>
      </c>
      <c r="K50" s="6">
        <f t="shared" si="16"/>
        <v>178.51910965600001</v>
      </c>
      <c r="L50" s="32">
        <v>5.2880000000000003</v>
      </c>
      <c r="M50">
        <f t="shared" si="14"/>
        <v>1.8343755549267032E-3</v>
      </c>
      <c r="O50">
        <f t="shared" si="8"/>
        <v>-10.655789473684248</v>
      </c>
      <c r="P50" s="1" t="str">
        <f t="shared" si="9"/>
        <v xml:space="preserve"> </v>
      </c>
      <c r="Q50" s="6">
        <f t="shared" si="10"/>
        <v>-1.6691055926874969</v>
      </c>
    </row>
    <row r="51" spans="1:17" x14ac:dyDescent="0.3">
      <c r="A51" s="1">
        <f t="shared" si="13"/>
        <v>41</v>
      </c>
      <c r="B51" s="6">
        <f>33.561181</f>
        <v>33.561180999999998</v>
      </c>
      <c r="C51" s="6">
        <f>0.53040383</f>
        <v>0.53040383000000002</v>
      </c>
      <c r="D51" s="6" t="s">
        <v>64</v>
      </c>
      <c r="F51" s="5">
        <f t="shared" si="11"/>
        <v>33.561180999999998</v>
      </c>
      <c r="G51" s="8">
        <f t="shared" si="5"/>
        <v>5.3040383000000002</v>
      </c>
      <c r="H51" s="3">
        <f t="shared" si="1"/>
        <v>1002.1828153846153</v>
      </c>
      <c r="I51" s="2">
        <f t="shared" si="2"/>
        <v>178.0097894172323</v>
      </c>
      <c r="K51" s="6">
        <f t="shared" ref="K51:K62" si="17">F51*L51</f>
        <v>178.05884579549999</v>
      </c>
      <c r="L51" s="32">
        <v>5.3055000000000003</v>
      </c>
      <c r="M51">
        <f t="shared" ref="M51:M62" si="18">(L51-G51)*100/G51</f>
        <v>2.7558247458358685E-2</v>
      </c>
      <c r="O51">
        <f t="shared" si="8"/>
        <v>-11.32034285714297</v>
      </c>
      <c r="P51" s="1" t="str">
        <f t="shared" si="9"/>
        <v xml:space="preserve"> </v>
      </c>
      <c r="Q51" s="6">
        <f t="shared" si="10"/>
        <v>-1.7895698911361919</v>
      </c>
    </row>
    <row r="52" spans="1:17" x14ac:dyDescent="0.3">
      <c r="A52" s="1">
        <f t="shared" si="13"/>
        <v>42</v>
      </c>
      <c r="B52" s="6">
        <f>33.445075</f>
        <v>33.445075000000003</v>
      </c>
      <c r="C52" s="6">
        <f>0.53150047</f>
        <v>0.53150047</v>
      </c>
      <c r="D52" s="6" t="s">
        <v>60</v>
      </c>
      <c r="F52" s="5">
        <f t="shared" si="11"/>
        <v>33.445075000000003</v>
      </c>
      <c r="G52" s="8">
        <f t="shared" si="5"/>
        <v>5.3150047000000002</v>
      </c>
      <c r="H52" s="3">
        <f t="shared" si="1"/>
        <v>1002.6671999999999</v>
      </c>
      <c r="I52" s="2">
        <f t="shared" si="2"/>
        <v>177.76073081685252</v>
      </c>
      <c r="K52" s="6">
        <f t="shared" si="17"/>
        <v>177.76073081685252</v>
      </c>
      <c r="L52" s="32">
        <f t="shared" ref="L52:L60" si="19">G52</f>
        <v>5.3150047000000002</v>
      </c>
      <c r="M52">
        <f t="shared" si="18"/>
        <v>0</v>
      </c>
      <c r="O52">
        <f t="shared" si="8"/>
        <v>-12.215640683030069</v>
      </c>
      <c r="P52" s="1" t="str">
        <f t="shared" si="9"/>
        <v xml:space="preserve"> </v>
      </c>
      <c r="Q52" s="6">
        <f t="shared" si="10"/>
        <v>-1.9412779802053375</v>
      </c>
    </row>
    <row r="53" spans="1:17" x14ac:dyDescent="0.3">
      <c r="A53" s="1">
        <f t="shared" si="13"/>
        <v>43</v>
      </c>
      <c r="B53" s="6">
        <f>33.079341</f>
        <v>33.079340999999999</v>
      </c>
      <c r="C53" s="6">
        <f>0.53429446</f>
        <v>0.53429446000000003</v>
      </c>
      <c r="D53" s="6" t="s">
        <v>65</v>
      </c>
      <c r="F53" s="5">
        <f t="shared" si="11"/>
        <v>33.079340999999999</v>
      </c>
      <c r="G53" s="8">
        <f>C53*10</f>
        <v>5.3429446</v>
      </c>
      <c r="H53" s="3">
        <f t="shared" si="1"/>
        <v>1002.3442769230769</v>
      </c>
      <c r="I53" s="2">
        <f t="shared" si="2"/>
        <v>176.74108636750859</v>
      </c>
      <c r="K53" s="6">
        <f t="shared" si="17"/>
        <v>176.74108636750859</v>
      </c>
      <c r="L53" s="32">
        <f t="shared" si="19"/>
        <v>5.3429446</v>
      </c>
      <c r="M53">
        <f t="shared" si="18"/>
        <v>0</v>
      </c>
      <c r="O53">
        <f t="shared" si="8"/>
        <v>-13.090025375896335</v>
      </c>
      <c r="P53" s="1" t="str">
        <f t="shared" si="9"/>
        <v xml:space="preserve"> </v>
      </c>
      <c r="Q53" s="6">
        <f t="shared" si="10"/>
        <v>-2.1142888062978127</v>
      </c>
    </row>
    <row r="54" spans="1:17" x14ac:dyDescent="0.3">
      <c r="A54" s="1">
        <f t="shared" si="13"/>
        <v>44</v>
      </c>
      <c r="B54" s="6">
        <f>32.754244</f>
        <v>32.754244</v>
      </c>
      <c r="C54" s="6">
        <f>0.53636899</f>
        <v>0.53636899000000005</v>
      </c>
      <c r="D54" s="6" t="s">
        <v>66</v>
      </c>
      <c r="F54" s="5">
        <f t="shared" si="11"/>
        <v>32.754244</v>
      </c>
      <c r="G54" s="8">
        <f>C54*10</f>
        <v>5.3636899000000007</v>
      </c>
      <c r="H54" s="3">
        <f t="shared" si="1"/>
        <v>1004.6047538461538</v>
      </c>
      <c r="I54" s="2">
        <f t="shared" si="2"/>
        <v>175.68360772493563</v>
      </c>
      <c r="K54" s="6">
        <f t="shared" si="17"/>
        <v>175.68360772493563</v>
      </c>
      <c r="L54" s="32">
        <f t="shared" si="19"/>
        <v>5.3636899000000007</v>
      </c>
      <c r="M54">
        <f t="shared" si="18"/>
        <v>0</v>
      </c>
      <c r="O54">
        <f t="shared" si="8"/>
        <v>-15.670874848760423</v>
      </c>
      <c r="P54" s="1" t="str">
        <f t="shared" si="9"/>
        <v xml:space="preserve"> </v>
      </c>
      <c r="Q54" s="6">
        <f t="shared" si="10"/>
        <v>-2.566193045104638</v>
      </c>
    </row>
    <row r="55" spans="1:17" x14ac:dyDescent="0.3">
      <c r="A55" s="1">
        <f t="shared" si="13"/>
        <v>45</v>
      </c>
      <c r="B55" s="6">
        <f>32.418262</f>
        <v>32.418261999999999</v>
      </c>
      <c r="C55" s="6">
        <f>0.5380873</f>
        <v>0.53808730000000005</v>
      </c>
      <c r="D55" s="6" t="s">
        <v>67</v>
      </c>
      <c r="F55" s="5">
        <f t="shared" si="11"/>
        <v>32.418261999999999</v>
      </c>
      <c r="G55" s="8">
        <f>C55*10</f>
        <v>5.3808730000000002</v>
      </c>
      <c r="H55" s="3">
        <f t="shared" si="1"/>
        <v>1002.8717230769231</v>
      </c>
      <c r="I55" s="2">
        <f t="shared" si="2"/>
        <v>174.43855070272599</v>
      </c>
      <c r="K55" s="6">
        <f t="shared" si="17"/>
        <v>174.50750434599999</v>
      </c>
      <c r="L55" s="32">
        <v>5.383</v>
      </c>
      <c r="M55">
        <f t="shared" si="18"/>
        <v>3.9528901722820219E-2</v>
      </c>
      <c r="O55">
        <f t="shared" si="8"/>
        <v>-17.399288455265015</v>
      </c>
      <c r="P55" s="1" t="str">
        <f t="shared" si="9"/>
        <v xml:space="preserve"> </v>
      </c>
      <c r="Q55" s="6">
        <f t="shared" si="10"/>
        <v>-2.8891237215212704</v>
      </c>
    </row>
    <row r="56" spans="1:17" x14ac:dyDescent="0.3">
      <c r="A56" s="1">
        <f t="shared" si="13"/>
        <v>46</v>
      </c>
      <c r="B56" s="6">
        <f>32.117112</f>
        <v>32.117111999999999</v>
      </c>
      <c r="C56" s="6">
        <f>0.53958906</f>
        <v>0.53958905999999995</v>
      </c>
      <c r="D56" s="6" t="s">
        <v>68</v>
      </c>
      <c r="F56" s="5">
        <f t="shared" si="11"/>
        <v>32.117111999999999</v>
      </c>
      <c r="G56" s="8">
        <f>C56*10</f>
        <v>5.3958905999999995</v>
      </c>
      <c r="H56" s="3">
        <f t="shared" si="1"/>
        <v>1002.1612923076923</v>
      </c>
      <c r="I56" s="2">
        <f t="shared" si="2"/>
        <v>173.30042273994718</v>
      </c>
      <c r="K56" s="6">
        <f t="shared" si="17"/>
        <v>173.30042273994718</v>
      </c>
      <c r="L56" s="32">
        <f t="shared" si="19"/>
        <v>5.3958905999999995</v>
      </c>
      <c r="M56">
        <f t="shared" si="18"/>
        <v>0</v>
      </c>
      <c r="O56">
        <f t="shared" si="8"/>
        <v>-23.361984702031773</v>
      </c>
      <c r="P56" s="1" t="str">
        <f t="shared" si="9"/>
        <v xml:space="preserve"> </v>
      </c>
      <c r="Q56" s="6">
        <f t="shared" si="10"/>
        <v>-3.9249703912056924</v>
      </c>
    </row>
    <row r="57" spans="1:17" x14ac:dyDescent="0.3">
      <c r="A57" s="1">
        <f t="shared" si="13"/>
        <v>47</v>
      </c>
      <c r="B57" s="6">
        <f>31.741944</f>
        <v>31.741944</v>
      </c>
      <c r="C57" s="6">
        <f>0.54102797</f>
        <v>0.54102797000000002</v>
      </c>
      <c r="D57" s="6" t="s">
        <v>69</v>
      </c>
      <c r="F57" s="5">
        <f t="shared" si="11"/>
        <v>31.741944</v>
      </c>
      <c r="G57" s="8">
        <f>C57*10</f>
        <v>5.4102797000000002</v>
      </c>
      <c r="H57" s="3">
        <f t="shared" si="1"/>
        <v>1003.4314615384613</v>
      </c>
      <c r="I57" s="2">
        <f t="shared" si="2"/>
        <v>171.73279526173681</v>
      </c>
      <c r="K57" s="6">
        <f t="shared" si="17"/>
        <v>171.73279526173681</v>
      </c>
      <c r="L57" s="32">
        <f t="shared" si="19"/>
        <v>5.4102797000000002</v>
      </c>
      <c r="M57">
        <f t="shared" si="18"/>
        <v>0</v>
      </c>
      <c r="O57">
        <f t="shared" si="8"/>
        <v>-26.073069198211154</v>
      </c>
      <c r="P57" s="1" t="str">
        <f t="shared" si="9"/>
        <v xml:space="preserve"> </v>
      </c>
      <c r="Q57" s="6">
        <f t="shared" si="10"/>
        <v>-4.4440440383795359</v>
      </c>
    </row>
    <row r="58" spans="1:17" x14ac:dyDescent="0.3">
      <c r="A58" s="1">
        <f t="shared" si="13"/>
        <v>48</v>
      </c>
      <c r="B58" s="6">
        <f>31.34936</f>
        <v>31.349360000000001</v>
      </c>
      <c r="C58" s="6">
        <f>0.54246687</f>
        <v>0.54246687000000005</v>
      </c>
      <c r="D58" s="6" t="s">
        <v>70</v>
      </c>
      <c r="F58" s="5">
        <f t="shared" si="11"/>
        <v>31.349360000000001</v>
      </c>
      <c r="G58" s="8">
        <f t="shared" si="5"/>
        <v>5.4246687000000007</v>
      </c>
      <c r="H58" s="3">
        <f t="shared" si="1"/>
        <v>1003.1731230769232</v>
      </c>
      <c r="I58" s="2">
        <f t="shared" si="2"/>
        <v>170.05989195703202</v>
      </c>
      <c r="K58" s="6">
        <f t="shared" si="17"/>
        <v>170.05989195703202</v>
      </c>
      <c r="L58" s="32">
        <f t="shared" si="19"/>
        <v>5.4246687000000007</v>
      </c>
      <c r="M58">
        <f t="shared" si="18"/>
        <v>0</v>
      </c>
      <c r="O58">
        <f t="shared" si="8"/>
        <v>-27.283619431509326</v>
      </c>
      <c r="P58" s="1" t="str">
        <f t="shared" si="9"/>
        <v xml:space="preserve"> </v>
      </c>
      <c r="Q58" s="6">
        <f t="shared" si="10"/>
        <v>-4.7211361365214621</v>
      </c>
    </row>
    <row r="59" spans="1:17" x14ac:dyDescent="0.3">
      <c r="A59" s="1">
        <f t="shared" si="13"/>
        <v>49</v>
      </c>
      <c r="B59" s="6">
        <f>30.526459</f>
        <v>30.526458999999999</v>
      </c>
      <c r="C59" s="6">
        <f>0.54410834</f>
        <v>0.54410833999999997</v>
      </c>
      <c r="D59" s="6" t="s">
        <v>71</v>
      </c>
      <c r="F59" s="5">
        <f t="shared" si="11"/>
        <v>30.526458999999999</v>
      </c>
      <c r="G59" s="8">
        <f t="shared" si="5"/>
        <v>5.4410834000000001</v>
      </c>
      <c r="H59" s="3">
        <f t="shared" ref="H59:H65" si="20">D59*1000000/65</f>
        <v>1003.3453384615385</v>
      </c>
      <c r="I59" s="2">
        <f t="shared" ref="I59:I65" si="21">F59*G59</f>
        <v>166.0970093256806</v>
      </c>
      <c r="K59" s="6">
        <f t="shared" si="17"/>
        <v>166.0970093256806</v>
      </c>
      <c r="L59" s="32">
        <f t="shared" si="19"/>
        <v>5.4410834000000001</v>
      </c>
      <c r="M59">
        <f t="shared" si="18"/>
        <v>0</v>
      </c>
      <c r="O59">
        <f t="shared" si="8"/>
        <v>-50.131954894090619</v>
      </c>
      <c r="P59" s="1" t="str">
        <f t="shared" si="9"/>
        <v xml:space="preserve"> </v>
      </c>
      <c r="Q59" s="6">
        <f t="shared" si="10"/>
        <v>-8.9355973971231073</v>
      </c>
    </row>
    <row r="60" spans="1:17" x14ac:dyDescent="0.3">
      <c r="A60" s="1">
        <f t="shared" si="13"/>
        <v>50</v>
      </c>
      <c r="B60" s="6">
        <f>29.299363</f>
        <v>29.299363</v>
      </c>
      <c r="C60" s="6">
        <f>0.54522594</f>
        <v>0.54522594000000002</v>
      </c>
      <c r="D60" s="6" t="s">
        <v>72</v>
      </c>
      <c r="F60" s="5">
        <f t="shared" si="11"/>
        <v>29.299363</v>
      </c>
      <c r="G60" s="8">
        <f t="shared" si="5"/>
        <v>5.4522594</v>
      </c>
      <c r="H60" s="3">
        <f t="shared" si="20"/>
        <v>1003.7543846153847</v>
      </c>
      <c r="I60" s="2">
        <f t="shared" si="21"/>
        <v>159.74772733076219</v>
      </c>
      <c r="K60" s="6">
        <f t="shared" si="17"/>
        <v>159.74772733076219</v>
      </c>
      <c r="L60" s="32">
        <f t="shared" si="19"/>
        <v>5.4522594</v>
      </c>
      <c r="M60">
        <f t="shared" si="18"/>
        <v>0</v>
      </c>
      <c r="O60">
        <f t="shared" si="8"/>
        <v>-109.79742304939296</v>
      </c>
      <c r="P60" s="1" t="str">
        <f t="shared" si="9"/>
        <v xml:space="preserve"> </v>
      </c>
      <c r="Q60" s="6">
        <f t="shared" si="10"/>
        <v>-20.431981129310881</v>
      </c>
    </row>
    <row r="61" spans="1:17" x14ac:dyDescent="0.3">
      <c r="A61" s="1">
        <f t="shared" si="13"/>
        <v>51</v>
      </c>
      <c r="B61" s="6">
        <f>28.443081</f>
        <v>28.443080999999999</v>
      </c>
      <c r="C61" s="6">
        <f>0.54572187</f>
        <v>0.54572187000000005</v>
      </c>
      <c r="D61" s="6" t="s">
        <v>73</v>
      </c>
      <c r="F61" s="5">
        <f t="shared" si="11"/>
        <v>28.443080999999999</v>
      </c>
      <c r="G61" s="8">
        <f t="shared" si="5"/>
        <v>5.4572187000000003</v>
      </c>
      <c r="H61" s="3">
        <f t="shared" si="20"/>
        <v>1003.0547076923077</v>
      </c>
      <c r="I61" s="2">
        <f t="shared" si="21"/>
        <v>155.22011351881471</v>
      </c>
      <c r="K61" s="6">
        <f t="shared" si="17"/>
        <v>155.22811455749999</v>
      </c>
      <c r="L61" s="32">
        <v>5.4574999999999996</v>
      </c>
      <c r="M61">
        <f t="shared" si="18"/>
        <v>5.1546404031647605E-3</v>
      </c>
      <c r="O61">
        <f t="shared" si="8"/>
        <v>-163.39388619624972</v>
      </c>
      <c r="P61" s="1" t="str">
        <f t="shared" si="9"/>
        <v xml:space="preserve"> </v>
      </c>
      <c r="Q61" s="6">
        <f t="shared" si="10"/>
        <v>-31.351109041809952</v>
      </c>
    </row>
    <row r="62" spans="1:17" x14ac:dyDescent="0.3">
      <c r="A62" s="1">
        <f t="shared" si="13"/>
        <v>52</v>
      </c>
      <c r="B62" s="6">
        <f>27.882143</f>
        <v>27.882142999999999</v>
      </c>
      <c r="C62" s="6">
        <f>0.54589649</f>
        <v>0.54589648999999996</v>
      </c>
      <c r="D62" s="6" t="s">
        <v>74</v>
      </c>
      <c r="F62" s="5">
        <f t="shared" si="11"/>
        <v>27.882142999999999</v>
      </c>
      <c r="G62" s="8">
        <f t="shared" si="5"/>
        <v>5.4589648999999998</v>
      </c>
      <c r="H62" s="3">
        <f t="shared" si="20"/>
        <v>1002.2581692307692</v>
      </c>
      <c r="I62" s="2">
        <f t="shared" si="21"/>
        <v>152.20763997378069</v>
      </c>
      <c r="K62" s="6">
        <f t="shared" si="17"/>
        <v>152.23650078</v>
      </c>
      <c r="L62" s="32">
        <v>5.46</v>
      </c>
      <c r="M62">
        <f t="shared" si="18"/>
        <v>1.8961470149774687E-2</v>
      </c>
      <c r="O62">
        <f t="shared" si="8"/>
        <v>-224.37519999996499</v>
      </c>
      <c r="P62" s="1" t="str">
        <f t="shared" si="9"/>
        <v xml:space="preserve"> </v>
      </c>
      <c r="Q62" s="6">
        <f t="shared" si="10"/>
        <v>-43.938107339877313</v>
      </c>
    </row>
    <row r="63" spans="1:17" x14ac:dyDescent="0.3">
      <c r="A63" s="1">
        <f t="shared" si="13"/>
        <v>53</v>
      </c>
      <c r="B63" s="6">
        <f>25.037545</f>
        <v>25.037545000000001</v>
      </c>
      <c r="C63" s="6">
        <f>0.54759384</f>
        <v>0.54759384</v>
      </c>
      <c r="D63" s="6" t="s">
        <v>75</v>
      </c>
      <c r="F63" s="5">
        <f t="shared" si="11"/>
        <v>25.037545000000001</v>
      </c>
      <c r="G63" s="8">
        <f t="shared" si="5"/>
        <v>5.4759384000000004</v>
      </c>
      <c r="H63" s="3">
        <f t="shared" si="20"/>
        <v>1001.9783076923077</v>
      </c>
      <c r="I63" s="2">
        <f t="shared" si="21"/>
        <v>137.10405410722802</v>
      </c>
      <c r="K63" s="6">
        <f t="shared" ref="K63:K70" si="22">F63*L63</f>
        <v>137.01796501250001</v>
      </c>
      <c r="L63" s="32">
        <v>5.4725000000000001</v>
      </c>
      <c r="M63">
        <f t="shared" ref="M63:M70" si="23">(L63-G63)*100/G63</f>
        <v>-6.2791064267638322E-2</v>
      </c>
      <c r="O63">
        <f t="shared" si="8"/>
        <v>-227.56783999999658</v>
      </c>
      <c r="P63" s="1" t="str">
        <f t="shared" si="9"/>
        <v xml:space="preserve"> </v>
      </c>
      <c r="Q63" s="6">
        <f t="shared" si="10"/>
        <v>-49.739900792988337</v>
      </c>
    </row>
    <row r="64" spans="1:17" x14ac:dyDescent="0.3">
      <c r="A64" s="1">
        <f t="shared" si="13"/>
        <v>54</v>
      </c>
      <c r="B64" s="6">
        <f>20.306223</f>
        <v>20.306222999999999</v>
      </c>
      <c r="C64" s="6">
        <f>0.54901179</f>
        <v>0.54901179</v>
      </c>
      <c r="D64" s="6" t="s">
        <v>76</v>
      </c>
      <c r="F64" s="5">
        <f t="shared" si="11"/>
        <v>20.306222999999999</v>
      </c>
      <c r="G64" s="8">
        <f t="shared" si="5"/>
        <v>5.4901178999999996</v>
      </c>
      <c r="H64" s="3">
        <f t="shared" si="20"/>
        <v>1004.3356461538461</v>
      </c>
      <c r="I64" s="2">
        <f t="shared" si="21"/>
        <v>111.48355837369169</v>
      </c>
      <c r="K64" s="6">
        <f t="shared" si="22"/>
        <v>111.54614418359999</v>
      </c>
      <c r="L64" s="32">
        <v>5.4931999999999999</v>
      </c>
      <c r="M64">
        <f t="shared" si="23"/>
        <v>5.6139049400019438E-2</v>
      </c>
      <c r="O64">
        <f t="shared" si="8"/>
        <v>-228.56628019323992</v>
      </c>
      <c r="P64" s="1" t="str">
        <f t="shared" si="9"/>
        <v xml:space="preserve"> </v>
      </c>
      <c r="Q64" s="6">
        <f t="shared" si="10"/>
        <v>-61.831306115248793</v>
      </c>
    </row>
    <row r="65" spans="1:17" x14ac:dyDescent="0.3">
      <c r="A65" s="1">
        <f t="shared" si="13"/>
        <v>55</v>
      </c>
      <c r="B65" s="6">
        <f>13.755665</f>
        <v>13.755665</v>
      </c>
      <c r="C65" s="6">
        <v>0.55004556999999998</v>
      </c>
      <c r="D65" s="6" t="s">
        <v>77</v>
      </c>
      <c r="F65" s="5">
        <f t="shared" si="11"/>
        <v>13.755665</v>
      </c>
      <c r="G65" s="8">
        <f t="shared" si="5"/>
        <v>5.5004556999999998</v>
      </c>
      <c r="H65" s="3">
        <f t="shared" si="20"/>
        <v>1001.4078000000001</v>
      </c>
      <c r="I65" s="2">
        <f t="shared" si="21"/>
        <v>75.662425956540503</v>
      </c>
      <c r="K65" s="6">
        <f t="shared" si="22"/>
        <v>75.956030996999999</v>
      </c>
      <c r="L65" s="32">
        <v>5.5217999999999998</v>
      </c>
      <c r="M65">
        <f t="shared" si="23"/>
        <v>0.3880460304407139</v>
      </c>
      <c r="O65">
        <f t="shared" si="8"/>
        <v>-229.04048951048981</v>
      </c>
      <c r="P65" s="1" t="str">
        <f t="shared" si="9"/>
        <v xml:space="preserve"> </v>
      </c>
      <c r="Q65" s="6">
        <f t="shared" si="10"/>
        <v>-91.941449212307987</v>
      </c>
    </row>
    <row r="66" spans="1:17" x14ac:dyDescent="0.3">
      <c r="A66" s="1">
        <f t="shared" si="13"/>
        <v>56</v>
      </c>
      <c r="B66" s="6">
        <f>8.530892</f>
        <v>8.5308919999999997</v>
      </c>
      <c r="C66" s="6">
        <f>0.55297926</f>
        <v>0.55297925999999997</v>
      </c>
      <c r="D66" s="6" t="s">
        <v>78</v>
      </c>
      <c r="F66" s="5">
        <f t="shared" si="11"/>
        <v>8.5308919999999997</v>
      </c>
      <c r="G66" s="8">
        <f t="shared" si="5"/>
        <v>5.5297925999999995</v>
      </c>
      <c r="H66" s="3">
        <f>D66*1000000/65</f>
        <v>1000.5682</v>
      </c>
      <c r="I66" s="2">
        <f>F66*G66</f>
        <v>47.174063452999192</v>
      </c>
      <c r="K66" s="6">
        <f t="shared" si="22"/>
        <v>47.298677604800005</v>
      </c>
      <c r="L66" s="32">
        <v>5.5444000000000004</v>
      </c>
      <c r="M66">
        <f t="shared" si="23"/>
        <v>0.26415818922396722</v>
      </c>
      <c r="O66">
        <f t="shared" si="8"/>
        <v>-231.18464601769281</v>
      </c>
      <c r="P66" s="1" t="str">
        <f t="shared" si="9"/>
        <v xml:space="preserve"> </v>
      </c>
      <c r="Q66" s="4">
        <f t="shared" si="10"/>
        <v>-150.25159753288355</v>
      </c>
    </row>
    <row r="67" spans="1:17" x14ac:dyDescent="0.3">
      <c r="A67" s="1">
        <f t="shared" si="13"/>
        <v>57</v>
      </c>
      <c r="B67" s="6">
        <f>3.549943</f>
        <v>3.5499429999999998</v>
      </c>
      <c r="C67" s="6">
        <f>0.55771507</f>
        <v>0.55771506999999998</v>
      </c>
      <c r="D67" s="6" t="s">
        <v>79</v>
      </c>
      <c r="F67" s="5">
        <f t="shared" si="11"/>
        <v>3.5499429999999998</v>
      </c>
      <c r="G67" s="8">
        <f t="shared" si="5"/>
        <v>5.5771506999999998</v>
      </c>
      <c r="H67" s="3">
        <f>D67*1000000/65</f>
        <v>1001.7737846153847</v>
      </c>
      <c r="I67" s="2">
        <f>F67*G67</f>
        <v>19.798567087410099</v>
      </c>
      <c r="K67" s="6">
        <f t="shared" si="22"/>
        <v>19.7582727494</v>
      </c>
      <c r="L67" s="32">
        <v>5.5658000000000003</v>
      </c>
      <c r="M67">
        <f t="shared" si="23"/>
        <v>-0.20352148633888434</v>
      </c>
      <c r="O67">
        <f t="shared" si="8"/>
        <v>-232.75462616822577</v>
      </c>
      <c r="P67" s="1" t="str">
        <f t="shared" si="9"/>
        <v xml:space="preserve"> </v>
      </c>
      <c r="Q67" s="27">
        <f t="shared" si="10"/>
        <v>-364.92577439331029</v>
      </c>
    </row>
    <row r="68" spans="1:17" x14ac:dyDescent="0.3">
      <c r="A68" s="1">
        <f t="shared" si="13"/>
        <v>58</v>
      </c>
      <c r="B68" s="6">
        <f>1.364972</f>
        <v>1.3649720000000001</v>
      </c>
      <c r="C68" s="6">
        <f>0.55818306</f>
        <v>0.55818305999999995</v>
      </c>
      <c r="D68" s="6" t="s">
        <v>74</v>
      </c>
      <c r="F68" s="5">
        <f t="shared" si="11"/>
        <v>1.3649720000000001</v>
      </c>
      <c r="G68" s="8">
        <f t="shared" si="5"/>
        <v>5.5818306</v>
      </c>
      <c r="H68" s="3">
        <f>D68*1000000/65</f>
        <v>1002.2581692307692</v>
      </c>
      <c r="I68" s="2">
        <f>F68*G68</f>
        <v>7.6190424777432</v>
      </c>
      <c r="K68" s="6">
        <f t="shared" si="22"/>
        <v>7.6098553972000005</v>
      </c>
      <c r="L68" s="32">
        <v>5.5750999999999999</v>
      </c>
      <c r="M68">
        <f>(L68-G68)*100/G68</f>
        <v>-0.12058051349677346</v>
      </c>
      <c r="O68">
        <f t="shared" si="8"/>
        <v>-234.94311827957893</v>
      </c>
      <c r="P68" s="1" t="str">
        <f t="shared" si="9"/>
        <v xml:space="preserve"> </v>
      </c>
      <c r="Q68" s="27">
        <f t="shared" si="10"/>
        <v>-959.60311180044755</v>
      </c>
    </row>
    <row r="69" spans="1:17" x14ac:dyDescent="0.3">
      <c r="A69" s="1">
        <f t="shared" si="13"/>
        <v>59</v>
      </c>
      <c r="B69" s="6">
        <f>0.790247</f>
        <v>0.79024700000000003</v>
      </c>
      <c r="C69" s="6">
        <f>0.5587209</f>
        <v>0.55872089999999996</v>
      </c>
      <c r="D69" s="6" t="s">
        <v>80</v>
      </c>
      <c r="F69" s="5">
        <f t="shared" si="11"/>
        <v>0.79024700000000003</v>
      </c>
      <c r="G69" s="8">
        <f t="shared" si="5"/>
        <v>5.5872089999999996</v>
      </c>
      <c r="H69" s="3">
        <f>D69*1000000/65</f>
        <v>1001.7092000000001</v>
      </c>
      <c r="I69" s="2">
        <f>F69*G69</f>
        <v>4.4152751506229997</v>
      </c>
      <c r="K69" s="6">
        <f t="shared" si="22"/>
        <v>4.4076026424999997</v>
      </c>
      <c r="L69" s="32">
        <v>5.5774999999999997</v>
      </c>
      <c r="M69">
        <f t="shared" si="23"/>
        <v>-0.1737719136692393</v>
      </c>
      <c r="O69">
        <f t="shared" si="8"/>
        <v>-239.4687500000264</v>
      </c>
      <c r="P69" s="1" t="str">
        <f t="shared" si="9"/>
        <v xml:space="preserve"> </v>
      </c>
      <c r="Q69" s="27">
        <f t="shared" si="10"/>
        <v>-1690.1512478062518</v>
      </c>
    </row>
    <row r="70" spans="1:17" x14ac:dyDescent="0.3">
      <c r="A70" s="1">
        <f t="shared" si="13"/>
        <v>60</v>
      </c>
      <c r="B70" s="35">
        <v>1E-3</v>
      </c>
      <c r="C70" s="6">
        <f>0.55884663</f>
        <v>0.55884663000000001</v>
      </c>
      <c r="D70" s="6" t="s">
        <v>81</v>
      </c>
      <c r="F70" s="5">
        <f t="shared" si="11"/>
        <v>1E-3</v>
      </c>
      <c r="G70" s="8">
        <f t="shared" si="5"/>
        <v>5.5884663000000003</v>
      </c>
      <c r="H70" s="3">
        <f>D70*1000000/65</f>
        <v>1003.4852769230769</v>
      </c>
      <c r="I70" s="2">
        <f>F70*G70</f>
        <v>5.5884663000000008E-3</v>
      </c>
      <c r="K70" s="6">
        <f t="shared" si="22"/>
        <v>5.5807000000000001E-3</v>
      </c>
      <c r="L70" s="32">
        <v>5.5807000000000002</v>
      </c>
      <c r="M70">
        <f t="shared" si="23"/>
        <v>-0.13897015000341176</v>
      </c>
      <c r="O70">
        <f t="shared" si="8"/>
        <v>-246.63968749995871</v>
      </c>
      <c r="P70" s="1" t="str">
        <f t="shared" si="9"/>
        <v xml:space="preserve"> </v>
      </c>
      <c r="Q70" s="27">
        <f t="shared" si="10"/>
        <v>-1376422.1040310196</v>
      </c>
    </row>
    <row r="71" spans="1:17" x14ac:dyDescent="0.3">
      <c r="B71" s="6" t="s">
        <v>30</v>
      </c>
      <c r="C71" s="6"/>
      <c r="D71" s="6"/>
      <c r="F71" s="5">
        <v>0</v>
      </c>
      <c r="L71" s="33">
        <v>5.5807000000000002</v>
      </c>
    </row>
    <row r="72" spans="1:17" x14ac:dyDescent="0.3">
      <c r="G72"/>
      <c r="H72"/>
      <c r="I72"/>
    </row>
    <row r="73" spans="1:17" x14ac:dyDescent="0.3">
      <c r="H73"/>
      <c r="I73"/>
    </row>
    <row r="74" spans="1:17" x14ac:dyDescent="0.3">
      <c r="G74"/>
      <c r="H74"/>
      <c r="I74"/>
    </row>
    <row r="139" spans="6:13" x14ac:dyDescent="0.3">
      <c r="L139" s="15"/>
    </row>
    <row r="142" spans="6:13" x14ac:dyDescent="0.3">
      <c r="F142" s="11"/>
      <c r="G142" s="11"/>
      <c r="H142" s="12"/>
      <c r="I142" s="13"/>
      <c r="K142" s="14"/>
      <c r="L142" s="15"/>
      <c r="M142" s="15"/>
    </row>
    <row r="143" spans="6:13" x14ac:dyDescent="0.3">
      <c r="F143" s="11"/>
      <c r="G143" s="11"/>
      <c r="H143" s="12"/>
      <c r="I143" s="13"/>
      <c r="K143" s="14"/>
      <c r="M143" s="15"/>
    </row>
  </sheetData>
  <conditionalFormatting sqref="K11:K70">
    <cfRule type="cellIs" dxfId="0" priority="1" operator="equal">
      <formula>$T$37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</dc:creator>
  <cp:lastModifiedBy>Alberto Leamus</cp:lastModifiedBy>
  <dcterms:created xsi:type="dcterms:W3CDTF">2016-04-26T11:17:44Z</dcterms:created>
  <dcterms:modified xsi:type="dcterms:W3CDTF">2023-08-29T15:30:08Z</dcterms:modified>
</cp:coreProperties>
</file>