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5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E8" i="1" s="1"/>
  <c r="I8" i="1" l="1"/>
  <c r="J8" i="1"/>
  <c r="I13" i="1"/>
  <c r="E13" i="1"/>
  <c r="F13" i="1" s="1"/>
  <c r="E14" i="1"/>
  <c r="L14" i="1"/>
  <c r="J13" i="1"/>
  <c r="L13" i="1" s="1"/>
  <c r="J14" i="1"/>
  <c r="K14" i="1" s="1"/>
  <c r="F14" i="1"/>
  <c r="K13" i="1" l="1"/>
  <c r="M14" i="1"/>
  <c r="M13" i="1"/>
  <c r="G13" i="1"/>
  <c r="G14" i="1"/>
  <c r="H14" i="1"/>
  <c r="D6" i="1"/>
  <c r="E6" i="1" s="1"/>
  <c r="P6" i="1"/>
  <c r="I6" i="1" l="1"/>
  <c r="K6" i="1"/>
  <c r="G6" i="1" s="1"/>
  <c r="H6" i="1" s="1"/>
  <c r="J6" i="1"/>
  <c r="D7" i="1"/>
  <c r="E7" i="1" s="1"/>
  <c r="D4" i="1"/>
  <c r="E4" i="1" s="1"/>
  <c r="D5" i="1"/>
  <c r="E5" i="1" s="1"/>
  <c r="D2" i="1"/>
  <c r="E2" i="1" s="1"/>
  <c r="D3" i="1"/>
  <c r="E3" i="1" s="1"/>
  <c r="L6" i="1" l="1"/>
  <c r="M6" i="1" s="1"/>
  <c r="N6" i="1" s="1"/>
  <c r="Q6" i="1" s="1"/>
  <c r="I7" i="1"/>
  <c r="J7" i="1"/>
  <c r="J2" i="1"/>
  <c r="I3" i="1"/>
  <c r="I2" i="1"/>
  <c r="J3" i="1"/>
  <c r="I5" i="1"/>
  <c r="J5" i="1"/>
  <c r="I4" i="1"/>
  <c r="J4" i="1"/>
  <c r="P4" i="1"/>
  <c r="P5" i="1"/>
  <c r="P3" i="1"/>
  <c r="P2" i="1"/>
  <c r="K4" i="1" l="1"/>
  <c r="G4" i="1" s="1"/>
  <c r="H4" i="1" s="1"/>
  <c r="K2" i="1"/>
  <c r="G2" i="1" s="1"/>
  <c r="H2" i="1" s="1"/>
  <c r="K5" i="1"/>
  <c r="G5" i="1" s="1"/>
  <c r="H5" i="1" s="1"/>
  <c r="K3" i="1"/>
  <c r="G3" i="1" s="1"/>
  <c r="H3" i="1" s="1"/>
  <c r="L5" i="1" l="1"/>
  <c r="M5" i="1" s="1"/>
  <c r="N5" i="1" s="1"/>
  <c r="Q5" i="1" s="1"/>
  <c r="L4" i="1"/>
  <c r="M4" i="1" s="1"/>
  <c r="N4" i="1" s="1"/>
  <c r="Q4" i="1" s="1"/>
  <c r="L2" i="1"/>
  <c r="M2" i="1" s="1"/>
  <c r="N2" i="1" s="1"/>
  <c r="Q2" i="1" s="1"/>
  <c r="L3" i="1"/>
  <c r="M3" i="1" l="1"/>
  <c r="N3" i="1" s="1"/>
  <c r="Q3" i="1" s="1"/>
  <c r="P7" i="1"/>
  <c r="K7" i="1" s="1"/>
  <c r="L7" i="1" s="1"/>
  <c r="M7" i="1" s="1"/>
  <c r="N7" i="1" s="1"/>
  <c r="Q7" i="1" s="1"/>
  <c r="G7" i="1" l="1"/>
  <c r="H7" i="1" s="1"/>
  <c r="P8" i="1"/>
  <c r="K8" i="1" s="1"/>
  <c r="G8" i="1" l="1"/>
  <c r="H8" i="1" s="1"/>
  <c r="L8" i="1"/>
  <c r="M8" i="1" s="1"/>
  <c r="N8" i="1" s="1"/>
  <c r="Q8" i="1" s="1"/>
</calcChain>
</file>

<file path=xl/sharedStrings.xml><?xml version="1.0" encoding="utf-8"?>
<sst xmlns="http://schemas.openxmlformats.org/spreadsheetml/2006/main" count="30" uniqueCount="28">
  <si>
    <t>b1</t>
  </si>
  <si>
    <t>b2</t>
  </si>
  <si>
    <t>alpha</t>
  </si>
  <si>
    <t>R</t>
  </si>
  <si>
    <t>deg</t>
  </si>
  <si>
    <t>wb</t>
  </si>
  <si>
    <t>beta</t>
  </si>
  <si>
    <t>deg2</t>
  </si>
  <si>
    <t>1_tana</t>
  </si>
  <si>
    <t>1_sina</t>
  </si>
  <si>
    <t>Rt</t>
  </si>
  <si>
    <t>diff</t>
  </si>
  <si>
    <t>help</t>
  </si>
  <si>
    <t>max</t>
  </si>
  <si>
    <t>R0</t>
  </si>
  <si>
    <t>gamma</t>
  </si>
  <si>
    <t>RR</t>
  </si>
  <si>
    <t>r0</t>
  </si>
  <si>
    <t>r1</t>
  </si>
  <si>
    <t>cos_alpha</t>
  </si>
  <si>
    <t>x</t>
  </si>
  <si>
    <t>alphaD</t>
  </si>
  <si>
    <t>z</t>
  </si>
  <si>
    <t>x0</t>
  </si>
  <si>
    <t>d</t>
  </si>
  <si>
    <t>Column1</t>
  </si>
  <si>
    <t>alpha0</t>
  </si>
  <si>
    <t>alpha0D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</si>
</sst>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8" totalsRowShown="0">
  <autoFilter ref="A1:Q8"/>
  <tableColumns count="17">
    <tableColumn id="1" name="b1"/>
    <tableColumn id="2" name="b2"/>
    <tableColumn id="5" name="deg"/>
    <tableColumn id="3" name="alpha" dataDxfId="20">
      <calculatedColumnFormula>RADIANS(Table1[[#This Row],[deg]])</calculatedColumnFormula>
    </tableColumn>
    <tableColumn id="4" name="R">
      <calculatedColumnFormula>Table1[b1]/TAN(Table1[alpha])+B2/SIN(Table1[alpha])</calculatedColumnFormula>
    </tableColumn>
    <tableColumn id="6" name="wb"/>
    <tableColumn id="7" name="beta" dataDxfId="19">
      <calculatedColumnFormula>ATAN(Table1[[#This Row],[wb]]/Table1[[#This Row],[RR]])</calculatedColumnFormula>
    </tableColumn>
    <tableColumn id="8" name="deg2" dataDxfId="18">
      <calculatedColumnFormula>DEGREES(Table1[[#This Row],[beta]])</calculatedColumnFormula>
    </tableColumn>
    <tableColumn id="9" name="1_tana" dataDxfId="17">
      <calculatedColumnFormula>1/TAN(Table1[[#This Row],[alpha]])</calculatedColumnFormula>
    </tableColumn>
    <tableColumn id="10" name="1_sina" dataDxfId="16">
      <calculatedColumnFormula>1/SIN(Table1[[#This Row],[alpha]])</calculatedColumnFormula>
    </tableColumn>
    <tableColumn id="17" name="RR" dataDxfId="15">
      <calculatedColumnFormula>MAX(Table1[[#This Row],[R]],Table1[[#This Row],[R0]])</calculatedColumnFormula>
    </tableColumn>
    <tableColumn id="11" name="Rt" dataDxfId="14">
      <calculatedColumnFormula>SQRT(Table1[[#This Row],[RR]]*Table1[[#This Row],[RR]]+Table1[[#This Row],[b1]]*Table1[[#This Row],[b1]]-Table1[[#This Row],[b2]]*Table1[[#This Row],[b2]])</calculatedColumnFormula>
    </tableColumn>
    <tableColumn id="12" name="diff" dataDxfId="13">
      <calculatedColumnFormula>MAX(0,Table1[[#This Row],[R0]]-Table1[[#This Row],[Rt]])</calculatedColumnFormula>
    </tableColumn>
    <tableColumn id="13" name="help" dataDxfId="12">
      <calculatedColumnFormula>0.5*Table1[[#This Row],[diff]]</calculatedColumnFormula>
    </tableColumn>
    <tableColumn id="14" name="max" dataDxfId="11">
      <calculatedColumnFormula>MIN(25,Table1[[#This Row],[deg2]])</calculatedColumnFormula>
    </tableColumn>
    <tableColumn id="15" name="R0" dataDxfId="10">
      <calculatedColumnFormula>Table1[[#This Row],[wb]]/TAN(RADIANS(Table1[[#This Row],[max]]))</calculatedColumnFormula>
    </tableColumn>
    <tableColumn id="16" name="gamma" dataDxfId="9">
      <calculatedColumnFormula>DEGREES(ACOS(1-Table1[[#This Row],[help]]/Table1[[#This Row],[R0]]))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M14" totalsRowShown="0">
  <autoFilter ref="A12:M14"/>
  <tableColumns count="13">
    <tableColumn id="1" name="r0"/>
    <tableColumn id="2" name="r1"/>
    <tableColumn id="3" name="beta"/>
    <tableColumn id="4" name="x"/>
    <tableColumn id="5" name="cos_alpha" dataDxfId="8">
      <calculatedColumnFormula>1 + ( Table2[[#This Row],[x]]-Table2[[#This Row],[r1]]*(1-COS(RADIANS(Table2[[#This Row],[beta]])))) /(Table2[[#This Row],[r0]]+Table2[[#This Row],[r1]])</calculatedColumnFormula>
    </tableColumn>
    <tableColumn id="6" name="alpha" dataDxfId="7">
      <calculatedColumnFormula>ACOS(MIN(MAX(Table2[[#This Row],[cos_alpha]],0),1))</calculatedColumnFormula>
    </tableColumn>
    <tableColumn id="7" name="alphaD" dataDxfId="6">
      <calculatedColumnFormula>DEGREES(Table2[[#This Row],[alpha]])</calculatedColumnFormula>
    </tableColumn>
    <tableColumn id="8" name="z" dataDxfId="5">
      <calculatedColumnFormula>Table2[[#This Row],[r0]]*(1-COS(Table2[[#This Row],[alpha]]))+Table2[[#This Row],[r1]]*((1-COS(Table2[[#This Row],[alpha]]))-(1-COS(RADIANS(Table2[[#This Row],[beta]]))))</calculatedColumnFormula>
    </tableColumn>
    <tableColumn id="9" name="x0" dataDxfId="4"/>
    <tableColumn id="10" name="d" dataDxfId="3">
      <calculatedColumnFormula>Table2[[#This Row],[x0]]-2*Table2[[#This Row],[r1]]</calculatedColumnFormula>
    </tableColumn>
    <tableColumn id="11" name="Column1" dataDxfId="2">
      <calculatedColumnFormula>Table2[[#This Row],[r0]]*(1-COS(Table2[[#This Row],[alpha0]]))+Table2[[#This Row],[r1]]*(1-COS(Table2[[#This Row],[alpha0]]))</calculatedColumnFormula>
    </tableColumn>
    <tableColumn id="12" name="alpha0" dataDxfId="1">
      <calculatedColumnFormula>ACOS(MIN(MAX(1 + Table2[[#This Row],[d]] /(Table2[[#This Row],[r0]]+Table2[[#This Row],[r1]]),0),1))</calculatedColumnFormula>
    </tableColumn>
    <tableColumn id="13" name="alpha0D" dataDxfId="0">
      <calculatedColumnFormula>DEGREES(Table2[[#This Row],[alpha0]])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H8" sqref="H8"/>
    </sheetView>
  </sheetViews>
  <sheetFormatPr defaultRowHeight="15" x14ac:dyDescent="0.25"/>
  <cols>
    <col min="4" max="4" width="6.5703125" customWidth="1"/>
    <col min="9" max="9" width="12" bestFit="1" customWidth="1"/>
    <col min="10" max="10" width="11" bestFit="1" customWidth="1"/>
    <col min="11" max="11" width="26.42578125" customWidth="1"/>
  </cols>
  <sheetData>
    <row r="1" spans="1:1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0.61</v>
      </c>
      <c r="B2">
        <v>2</v>
      </c>
      <c r="C2">
        <v>75</v>
      </c>
      <c r="D2">
        <f>RADIANS(Table1[[#This Row],[deg]])</f>
        <v>1.3089969389957472</v>
      </c>
      <c r="E2">
        <f>Table1[b1]/TAN(Table1[alpha])+B2/SIN(Table1[alpha])</f>
        <v>2.2340013682031508</v>
      </c>
      <c r="F2">
        <v>2.5</v>
      </c>
      <c r="G2">
        <f>ATAN(Table1[[#This Row],[wb]]/Table1[[#This Row],[RR]])</f>
        <v>0.57595865315812877</v>
      </c>
      <c r="H2">
        <f>DEGREES(Table1[[#This Row],[beta]])</f>
        <v>33</v>
      </c>
      <c r="I2" s="1">
        <f>1/TAN(Table1[[#This Row],[alpha]])</f>
        <v>0.2679491924311227</v>
      </c>
      <c r="J2" s="1">
        <f>1/SIN(Table1[[#This Row],[alpha]])</f>
        <v>1.035276180410083</v>
      </c>
      <c r="K2" s="1">
        <f>MAX(Table1[[#This Row],[R]],Table1[[#This Row],[R0]])</f>
        <v>3.8496624095364571</v>
      </c>
      <c r="L2" s="1">
        <f>SQRT(Table1[[#This Row],[RR]]*Table1[[#This Row],[RR]]+Table1[[#This Row],[b1]]*Table1[[#This Row],[b1]]-Table1[[#This Row],[b2]]*Table1[[#This Row],[b2]])</f>
        <v>3.3454447637643101</v>
      </c>
      <c r="M2" s="1">
        <f>MAX(0,Table1[[#This Row],[R0]]-Table1[[#This Row],[Rt]])</f>
        <v>0.50421764577214701</v>
      </c>
      <c r="N2" s="1">
        <f>0.5*Table1[[#This Row],[diff]]</f>
        <v>0.2521088228860735</v>
      </c>
      <c r="O2" s="1">
        <v>33</v>
      </c>
      <c r="P2" s="1">
        <f>Table1[[#This Row],[wb]]/TAN(RADIANS(Table1[[#This Row],[max]]))</f>
        <v>3.8496624095364571</v>
      </c>
      <c r="Q2" s="1">
        <f>DEGREES(ACOS(1-Table1[[#This Row],[help]]/Table1[[#This Row],[R0]]))</f>
        <v>20.850641448959976</v>
      </c>
    </row>
    <row r="3" spans="1:17" x14ac:dyDescent="0.25">
      <c r="A3">
        <v>0.61</v>
      </c>
      <c r="B3">
        <v>3</v>
      </c>
      <c r="C3">
        <v>75</v>
      </c>
      <c r="D3">
        <f>RADIANS(Table1[[#This Row],[deg]])</f>
        <v>1.3089969389957472</v>
      </c>
      <c r="E3">
        <f>Table1[b1]/TAN(Table1[alpha])+B3/SIN(Table1[alpha])</f>
        <v>3.2692775486132337</v>
      </c>
      <c r="F3">
        <v>2.5</v>
      </c>
      <c r="G3">
        <f>ATAN(Table1[[#This Row],[wb]]/Table1[[#This Row],[RR]])</f>
        <v>0.57595865315812877</v>
      </c>
      <c r="H3">
        <f>DEGREES(Table1[[#This Row],[beta]])</f>
        <v>33</v>
      </c>
      <c r="I3" s="1">
        <f>1/TAN(Table1[[#This Row],[alpha]])</f>
        <v>0.2679491924311227</v>
      </c>
      <c r="J3" s="1">
        <f>1/SIN(Table1[[#This Row],[alpha]])</f>
        <v>1.035276180410083</v>
      </c>
      <c r="K3" s="1">
        <f>MAX(Table1[[#This Row],[R]],Table1[[#This Row],[R0]])</f>
        <v>3.8496624095364571</v>
      </c>
      <c r="L3" s="1">
        <f>SQRT(Table1[[#This Row],[RR]]*Table1[[#This Row],[RR]]+Table1[[#This Row],[b1]]*Table1[[#This Row],[b1]]-Table1[[#This Row],[b2]]*Table1[[#This Row],[b2]])</f>
        <v>2.4883730965026207</v>
      </c>
      <c r="M3" s="1">
        <f>MAX(0,Table1[[#This Row],[R0]]-Table1[[#This Row],[Rt]])</f>
        <v>1.3612893130338364</v>
      </c>
      <c r="N3" s="1">
        <f>0.5*Table1[[#This Row],[diff]]</f>
        <v>0.68064465651691819</v>
      </c>
      <c r="O3" s="1">
        <v>33</v>
      </c>
      <c r="P3" s="1">
        <f>Table1[[#This Row],[wb]]/TAN(RADIANS(Table1[[#This Row],[max]]))</f>
        <v>3.8496624095364571</v>
      </c>
      <c r="Q3" s="1">
        <f>DEGREES(ACOS(1-Table1[[#This Row],[help]]/Table1[[#This Row],[R0]]))</f>
        <v>34.594217146611413</v>
      </c>
    </row>
    <row r="4" spans="1:17" x14ac:dyDescent="0.25">
      <c r="A4">
        <v>0.61</v>
      </c>
      <c r="B4">
        <v>5</v>
      </c>
      <c r="C4">
        <v>75</v>
      </c>
      <c r="D4">
        <f>RADIANS(Table1[[#This Row],[deg]])</f>
        <v>1.3089969389957472</v>
      </c>
      <c r="E4">
        <f>Table1[b1]/TAN(Table1[alpha])+B4/SIN(Table1[alpha])</f>
        <v>5.3398299094333996</v>
      </c>
      <c r="F4">
        <v>2.5</v>
      </c>
      <c r="G4">
        <f>ATAN(Table1[[#This Row],[wb]]/Table1[[#This Row],[RR]])</f>
        <v>0.43786889895082926</v>
      </c>
      <c r="H4">
        <f>DEGREES(Table1[[#This Row],[beta]])</f>
        <v>25.088039889922836</v>
      </c>
      <c r="I4" s="1">
        <f>1/TAN(Table1[[#This Row],[alpha]])</f>
        <v>0.2679491924311227</v>
      </c>
      <c r="J4" s="1">
        <f>1/SIN(Table1[[#This Row],[alpha]])</f>
        <v>1.035276180410083</v>
      </c>
      <c r="K4" s="1">
        <f>MAX(Table1[[#This Row],[R]],Table1[[#This Row],[R0]])</f>
        <v>5.3398299094333996</v>
      </c>
      <c r="L4" s="1">
        <f>SQRT(Table1[[#This Row],[RR]]*Table1[[#This Row],[RR]]+Table1[[#This Row],[b1]]*Table1[[#This Row],[b1]]-Table1[[#This Row],[b2]]*Table1[[#This Row],[b2]])</f>
        <v>1.9712644322057629</v>
      </c>
      <c r="M4" s="1">
        <f>MAX(0,Table1[[#This Row],[R0]]-Table1[[#This Row],[Rt]])</f>
        <v>1.8783979773306942</v>
      </c>
      <c r="N4" s="1">
        <f>0.5*Table1[[#This Row],[diff]]</f>
        <v>0.93919898866534712</v>
      </c>
      <c r="O4" s="1">
        <v>33</v>
      </c>
      <c r="P4" s="1">
        <f>Table1[[#This Row],[wb]]/TAN(RADIANS(Table1[[#This Row],[max]]))</f>
        <v>3.8496624095364571</v>
      </c>
      <c r="Q4" s="1">
        <f>DEGREES(ACOS(1-Table1[[#This Row],[help]]/Table1[[#This Row],[R0]]))</f>
        <v>40.88447792749875</v>
      </c>
    </row>
    <row r="5" spans="1:17" x14ac:dyDescent="0.25">
      <c r="A5">
        <v>0.61</v>
      </c>
      <c r="B5">
        <v>6</v>
      </c>
      <c r="C5">
        <v>75</v>
      </c>
      <c r="D5">
        <f>RADIANS(Table1[[#This Row],[deg]])</f>
        <v>1.3089969389957472</v>
      </c>
      <c r="E5">
        <f>Table1[b1]/TAN(Table1[alpha])+B5/SIN(Table1[alpha])</f>
        <v>6.3751060898434826</v>
      </c>
      <c r="F5">
        <v>2.5</v>
      </c>
      <c r="G5">
        <f>ATAN(Table1[[#This Row],[wb]]/Table1[[#This Row],[RR]])</f>
        <v>0.3737211638075621</v>
      </c>
      <c r="H5">
        <f>DEGREES(Table1[[#This Row],[beta]])</f>
        <v>21.4126454008906</v>
      </c>
      <c r="I5" s="1">
        <f>1/TAN(Table1[[#This Row],[alpha]])</f>
        <v>0.2679491924311227</v>
      </c>
      <c r="J5" s="1">
        <f>1/SIN(Table1[[#This Row],[alpha]])</f>
        <v>1.035276180410083</v>
      </c>
      <c r="K5" s="1">
        <f>MAX(Table1[[#This Row],[R]],Table1[[#This Row],[R0]])</f>
        <v>6.3751060898434826</v>
      </c>
      <c r="L5" s="1">
        <f>SQRT(Table1[[#This Row],[RR]]*Table1[[#This Row],[RR]]+Table1[[#This Row],[b1]]*Table1[[#This Row],[b1]]-Table1[[#This Row],[b2]]*Table1[[#This Row],[b2]])</f>
        <v>2.2392136246368861</v>
      </c>
      <c r="M5" s="1">
        <f>MAX(0,Table1[[#This Row],[R0]]-Table1[[#This Row],[Rt]])</f>
        <v>1.610448784899571</v>
      </c>
      <c r="N5" s="1">
        <f>0.5*Table1[[#This Row],[diff]]</f>
        <v>0.8052243924497855</v>
      </c>
      <c r="O5" s="1">
        <v>33</v>
      </c>
      <c r="P5" s="1">
        <f>Table1[[#This Row],[wb]]/TAN(RADIANS(Table1[[#This Row],[max]]))</f>
        <v>3.8496624095364571</v>
      </c>
      <c r="Q5" s="1">
        <f>DEGREES(ACOS(1-Table1[[#This Row],[help]]/Table1[[#This Row],[R0]]))</f>
        <v>37.736625067415588</v>
      </c>
    </row>
    <row r="6" spans="1:17" x14ac:dyDescent="0.25">
      <c r="A6">
        <v>0.61</v>
      </c>
      <c r="B6">
        <v>7.5</v>
      </c>
      <c r="C6">
        <v>75</v>
      </c>
      <c r="D6">
        <f>RADIANS(Table1[[#This Row],[deg]])</f>
        <v>1.3089969389957472</v>
      </c>
      <c r="E6">
        <f>Table1[b1]/TAN(Table1[alpha])+B6/SIN(Table1[alpha])</f>
        <v>7.9280203604586079</v>
      </c>
      <c r="F6">
        <v>2.5</v>
      </c>
      <c r="G6">
        <f>ATAN(Table1[[#This Row],[wb]]/Table1[[#This Row],[RR]])</f>
        <v>0.30546758614713987</v>
      </c>
      <c r="H6">
        <f>DEGREES(Table1[[#This Row],[beta]])</f>
        <v>17.502003464280005</v>
      </c>
      <c r="I6" s="1">
        <f>1/TAN(Table1[[#This Row],[alpha]])</f>
        <v>0.2679491924311227</v>
      </c>
      <c r="J6" s="1">
        <f>1/SIN(Table1[[#This Row],[alpha]])</f>
        <v>1.035276180410083</v>
      </c>
      <c r="K6" s="1">
        <f>MAX(Table1[[#This Row],[R]],Table1[[#This Row],[R0]])</f>
        <v>7.9280203604586079</v>
      </c>
      <c r="L6" s="1">
        <f>SQRT(Table1[[#This Row],[RR]]*Table1[[#This Row],[RR]]+Table1[[#This Row],[b1]]*Table1[[#This Row],[b1]]-Table1[[#This Row],[b2]]*Table1[[#This Row],[b2]])</f>
        <v>2.6411374132835714</v>
      </c>
      <c r="M6" s="1">
        <f>MAX(0,Table1[[#This Row],[R0]]-Table1[[#This Row],[Rt]])</f>
        <v>1.2085249962528857</v>
      </c>
      <c r="N6" s="1">
        <f>0.5*Table1[[#This Row],[diff]]</f>
        <v>0.60426249812644284</v>
      </c>
      <c r="O6" s="1">
        <v>33</v>
      </c>
      <c r="P6" s="1">
        <f>Table1[[#This Row],[wb]]/TAN(RADIANS(Table1[[#This Row],[max]]))</f>
        <v>3.8496624095364571</v>
      </c>
      <c r="Q6" s="1">
        <f>DEGREES(ACOS(1-Table1[[#This Row],[help]]/Table1[[#This Row],[R0]]))</f>
        <v>32.537996972639306</v>
      </c>
    </row>
    <row r="7" spans="1:17" x14ac:dyDescent="0.25">
      <c r="A7">
        <v>0.61</v>
      </c>
      <c r="B7">
        <v>10</v>
      </c>
      <c r="C7">
        <v>75</v>
      </c>
      <c r="D7" s="1">
        <f>RADIANS(Table1[[#This Row],[deg]])</f>
        <v>1.3089969389957472</v>
      </c>
      <c r="E7">
        <f>Table1[b1]/TAN(Table1[alpha])+B7/SIN(Table1[alpha])</f>
        <v>10.516210811483814</v>
      </c>
      <c r="F7">
        <v>2.5</v>
      </c>
      <c r="G7" s="1">
        <f>ATAN(Table1[[#This Row],[wb]]/Table1[[#This Row],[RR]])</f>
        <v>0.2333958169114988</v>
      </c>
      <c r="H7" s="1">
        <f>DEGREES(Table1[[#This Row],[beta]])</f>
        <v>13.372595265036965</v>
      </c>
      <c r="I7" s="1">
        <f>1/TAN(Table1[[#This Row],[alpha]])</f>
        <v>0.2679491924311227</v>
      </c>
      <c r="J7" s="1">
        <f>1/SIN(Table1[[#This Row],[alpha]])</f>
        <v>1.035276180410083</v>
      </c>
      <c r="K7" s="1">
        <f>MAX(Table1[[#This Row],[R]],Table1[[#This Row],[R0]])</f>
        <v>10.516210811483814</v>
      </c>
      <c r="L7" s="1">
        <f>SQRT(Table1[[#This Row],[RR]]*Table1[[#This Row],[RR]]+Table1[[#This Row],[b1]]*Table1[[#This Row],[b1]]-Table1[[#This Row],[b2]]*Table1[[#This Row],[b2]])</f>
        <v>3.3110103943613751</v>
      </c>
      <c r="M7" s="1">
        <f>MAX(0,Table1[[#This Row],[R0]]-Table1[[#This Row],[Rt]])</f>
        <v>0.53865201517508199</v>
      </c>
      <c r="N7" s="1">
        <f>0.5*Table1[[#This Row],[diff]]</f>
        <v>0.26932600758754099</v>
      </c>
      <c r="O7" s="1">
        <v>33</v>
      </c>
      <c r="P7" s="1">
        <f>Table1[[#This Row],[wb]]/TAN(RADIANS(Table1[[#This Row],[max]]))</f>
        <v>3.8496624095364571</v>
      </c>
      <c r="Q7" s="1">
        <f>DEGREES(ACOS(1-Table1[[#This Row],[help]]/Table1[[#This Row],[R0]]))</f>
        <v>21.559095732434216</v>
      </c>
    </row>
    <row r="8" spans="1:17" x14ac:dyDescent="0.25">
      <c r="A8">
        <v>1</v>
      </c>
      <c r="B8">
        <v>9.4</v>
      </c>
      <c r="C8">
        <v>75</v>
      </c>
      <c r="D8" s="1">
        <f>RADIANS(Table1[[#This Row],[deg]])</f>
        <v>1.3089969389957472</v>
      </c>
      <c r="E8">
        <f>Table1[b1]/TAN(Table1[alpha])+B8/SIN(Table1[alpha])</f>
        <v>9.9995452882859048</v>
      </c>
      <c r="F8">
        <v>2.9</v>
      </c>
      <c r="G8" s="1">
        <f>ATAN(Table1[[#This Row],[wb]]/Table1[[#This Row],[RR]])</f>
        <v>0.2822695861663706</v>
      </c>
      <c r="H8" s="1">
        <f>DEGREES(Table1[[#This Row],[beta]])</f>
        <v>16.172855972237361</v>
      </c>
      <c r="I8" s="1">
        <f>1/TAN(Table1[[#This Row],[alpha]])</f>
        <v>0.2679491924311227</v>
      </c>
      <c r="J8" s="1">
        <f>1/SIN(Table1[[#This Row],[alpha]])</f>
        <v>1.035276180410083</v>
      </c>
      <c r="K8" s="1">
        <f>MAX(Table1[[#This Row],[R]],Table1[[#This Row],[R0]])</f>
        <v>9.9995452882859048</v>
      </c>
      <c r="L8" s="1">
        <f>SQRT(Table1[[#This Row],[RR]]*Table1[[#This Row],[RR]]+Table1[[#This Row],[b1]]*Table1[[#This Row],[b1]]-Table1[[#This Row],[b2]]*Table1[[#This Row],[b2]])</f>
        <v>3.5539985892626396</v>
      </c>
      <c r="M8" s="1">
        <f>MAX(0,Table1[[#This Row],[R0]]-Table1[[#This Row],[Rt]])</f>
        <v>1.4689487526871048</v>
      </c>
      <c r="N8" s="1">
        <f>0.5*Table1[[#This Row],[diff]]</f>
        <v>0.73447437634355239</v>
      </c>
      <c r="O8" s="1">
        <v>30</v>
      </c>
      <c r="P8" s="1">
        <f>Table1[[#This Row],[wb]]/TAN(RADIANS(Table1[[#This Row],[max]]))</f>
        <v>5.0229473419497443</v>
      </c>
      <c r="Q8" s="1">
        <f>DEGREES(ACOS(1-Table1[[#This Row],[help]]/Table1[[#This Row],[R0]]))</f>
        <v>31.375201959743546</v>
      </c>
    </row>
    <row r="12" spans="1:17" x14ac:dyDescent="0.25">
      <c r="A12" t="s">
        <v>17</v>
      </c>
      <c r="B12" t="s">
        <v>18</v>
      </c>
      <c r="C12" t="s">
        <v>6</v>
      </c>
      <c r="D12" t="s">
        <v>20</v>
      </c>
      <c r="E12" t="s">
        <v>19</v>
      </c>
      <c r="F12" t="s">
        <v>2</v>
      </c>
      <c r="G12" t="s">
        <v>21</v>
      </c>
      <c r="H12" t="s">
        <v>22</v>
      </c>
      <c r="I12" t="s">
        <v>23</v>
      </c>
      <c r="J12" t="s">
        <v>24</v>
      </c>
      <c r="K12" t="s">
        <v>25</v>
      </c>
      <c r="L12" t="s">
        <v>26</v>
      </c>
      <c r="M12" t="s">
        <v>27</v>
      </c>
    </row>
    <row r="13" spans="1:17" x14ac:dyDescent="0.25">
      <c r="A13">
        <v>3</v>
      </c>
      <c r="B13" s="2">
        <v>8.1</v>
      </c>
      <c r="C13">
        <v>0</v>
      </c>
      <c r="D13">
        <v>-7.43</v>
      </c>
      <c r="E13">
        <f>1 + ( Table2[[#This Row],[x]]-Table2[[#This Row],[r1]]*(1-COS(RADIANS(Table2[[#This Row],[beta]])))) /(Table2[[#This Row],[r0]]+Table2[[#This Row],[r1]])</f>
        <v>0.33063063063063058</v>
      </c>
      <c r="F13">
        <f>ACOS(MIN(MAX(Table2[[#This Row],[cos_alpha]],0),1))</f>
        <v>1.2338246191476268</v>
      </c>
      <c r="G13">
        <f>DEGREES(Table2[[#This Row],[alpha]])</f>
        <v>70.69294333649519</v>
      </c>
      <c r="H13" s="1">
        <v>7.95</v>
      </c>
      <c r="I13" s="1">
        <f>4.73</f>
        <v>4.7300000000000004</v>
      </c>
      <c r="J13" s="1">
        <f>Table2[[#This Row],[x0]]-2*Table2[[#This Row],[r1]]</f>
        <v>-11.469999999999999</v>
      </c>
      <c r="K13" s="1">
        <f>Table2[[#This Row],[r0]]*(1-COS(Table2[[#This Row],[alpha0]]))+Table2[[#This Row],[r1]]*(1-COS(Table2[[#This Row],[alpha0]]))</f>
        <v>11.099999999999998</v>
      </c>
      <c r="L13" s="1">
        <f>ACOS(MIN(MAX(1 + Table2[[#This Row],[d]] /(Table2[[#This Row],[r0]]+Table2[[#This Row],[r1]]),0),1))</f>
        <v>1.5707963267948966</v>
      </c>
      <c r="M13" s="1">
        <f>DEGREES(Table2[[#This Row],[alpha0]])</f>
        <v>90</v>
      </c>
    </row>
    <row r="14" spans="1:17" x14ac:dyDescent="0.25">
      <c r="A14">
        <v>3</v>
      </c>
      <c r="B14">
        <v>4</v>
      </c>
      <c r="C14">
        <v>9</v>
      </c>
      <c r="D14">
        <v>-0.125</v>
      </c>
      <c r="E14">
        <f>1 + ( Table2[[#This Row],[x]]-Table2[[#This Row],[r1]]*(1-COS(RADIANS(Table2[[#This Row],[beta]])))) /(Table2[[#This Row],[r0]]+Table2[[#This Row],[r1]])</f>
        <v>0.97510762319722155</v>
      </c>
      <c r="F14">
        <f>ACOS(MIN(MAX(Table2[[#This Row],[cos_alpha]],0),1))</f>
        <v>0.22359042729158207</v>
      </c>
      <c r="G14">
        <f>DEGREES(Table2[[#This Row],[alpha]])</f>
        <v>12.810787823334351</v>
      </c>
      <c r="H14" s="1">
        <f>Table2[[#This Row],[r0]]*(1-COS(Table2[[#This Row],[alpha]]))+Table2[[#This Row],[r1]]*((1-COS(Table2[[#This Row],[alpha]]))-(1-COS(RADIANS(Table2[[#This Row],[beta]]))))</f>
        <v>0.12500000000000022</v>
      </c>
      <c r="I14" s="1">
        <v>5</v>
      </c>
      <c r="J14" s="1">
        <f>Table2[[#This Row],[x0]]-2*Table2[[#This Row],[r1]]</f>
        <v>-3</v>
      </c>
      <c r="K14" s="1">
        <f>Table2[[#This Row],[r0]]*(1-COS(Table2[[#This Row],[alpha0]]))+Table2[[#This Row],[r1]]*(1-COS(Table2[[#This Row],[alpha0]]))</f>
        <v>3</v>
      </c>
      <c r="L14" s="1">
        <f>ACOS(MIN(MAX(1 + Table2[[#This Row],[d]] /(Table2[[#This Row],[r0]]+Table2[[#This Row],[r1]]),0),1))</f>
        <v>0.96255074788468697</v>
      </c>
      <c r="M14" s="1">
        <f>DEGREES(Table2[[#This Row],[alpha0]])</f>
        <v>55.150095420953519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2014-05-24T15:27:13Z</dcterms:created>
  <dcterms:modified xsi:type="dcterms:W3CDTF">2014-06-06T15:25:16Z</dcterms:modified>
</cp:coreProperties>
</file>