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lber\Desktop\tesi\"/>
    </mc:Choice>
  </mc:AlternateContent>
  <xr:revisionPtr revIDLastSave="0" documentId="13_ncr:1_{69626CAB-E8E6-4CA1-9F88-4A8E8DB114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  <sheet name="Chemical exergy reference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3" l="1"/>
  <c r="G18" i="3"/>
  <c r="H18" i="3"/>
  <c r="I18" i="3"/>
  <c r="J18" i="3"/>
  <c r="K18" i="3"/>
  <c r="L18" i="3"/>
  <c r="F18" i="3"/>
  <c r="G19" i="3"/>
  <c r="H19" i="3"/>
  <c r="I19" i="3"/>
  <c r="J19" i="3"/>
  <c r="K19" i="3"/>
  <c r="L19" i="3"/>
  <c r="F19" i="3"/>
  <c r="G74" i="3"/>
  <c r="H74" i="3"/>
  <c r="I74" i="3"/>
  <c r="J74" i="3"/>
  <c r="K74" i="3"/>
  <c r="L74" i="3"/>
  <c r="M74" i="3"/>
  <c r="F74" i="3"/>
  <c r="G33" i="3"/>
  <c r="H33" i="3"/>
  <c r="I33" i="3"/>
  <c r="J33" i="3"/>
  <c r="M67" i="3"/>
  <c r="G67" i="3"/>
  <c r="K67" i="3"/>
  <c r="J67" i="3"/>
  <c r="I67" i="3"/>
  <c r="H67" i="3"/>
  <c r="L67" i="3"/>
  <c r="F67" i="3"/>
  <c r="J66" i="3"/>
  <c r="I66" i="3"/>
  <c r="H66" i="3"/>
  <c r="G66" i="3"/>
  <c r="G58" i="3"/>
  <c r="H58" i="3" l="1"/>
  <c r="I58" i="3"/>
  <c r="J58" i="3"/>
  <c r="K58" i="3"/>
  <c r="L58" i="3"/>
  <c r="M58" i="3"/>
  <c r="F58" i="3"/>
  <c r="Z11" i="3" l="1"/>
  <c r="Z13" i="3"/>
  <c r="AD9" i="3" s="1"/>
  <c r="Z12" i="3"/>
  <c r="AC9" i="3" l="1"/>
  <c r="J23" i="3"/>
  <c r="I23" i="3"/>
  <c r="H23" i="3"/>
  <c r="G23" i="3"/>
  <c r="J9" i="3"/>
  <c r="I9" i="3"/>
  <c r="H9" i="3"/>
  <c r="G9" i="3"/>
  <c r="O8" i="1" l="1"/>
  <c r="O7" i="1"/>
  <c r="O6" i="1"/>
  <c r="O5" i="1"/>
  <c r="Z8" i="1" l="1"/>
  <c r="Z7" i="1"/>
  <c r="Z6" i="1"/>
  <c r="Z5" i="1"/>
  <c r="E34" i="1" l="1"/>
  <c r="A36" i="1"/>
  <c r="C32" i="1" s="1"/>
  <c r="A33" i="1"/>
  <c r="E33" i="1" s="1"/>
  <c r="A32" i="1"/>
  <c r="E32" i="1" s="1"/>
  <c r="A31" i="1"/>
  <c r="E31" i="1" s="1"/>
  <c r="A30" i="1"/>
  <c r="A35" i="1" s="1"/>
  <c r="E30" i="1" l="1"/>
  <c r="E35" i="1" s="1"/>
  <c r="E36" i="1" s="1"/>
  <c r="C31" i="1"/>
  <c r="C33" i="1"/>
  <c r="C30" i="1"/>
  <c r="A24" i="1"/>
  <c r="D12" i="1" l="1"/>
  <c r="U12" i="1"/>
  <c r="Q12" i="1"/>
  <c r="C12" i="1"/>
  <c r="G12" i="1"/>
  <c r="W12" i="1"/>
  <c r="E12" i="1"/>
  <c r="H12" i="1"/>
  <c r="I12" i="1" s="1"/>
  <c r="T12" i="1"/>
  <c r="X12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Cardone</author>
    <author>Tallinus</author>
    <author>tc={58ECD7C4-640B-48A4-AFE2-92BE3E9589E9}</author>
    <author>tc={BA36F33A-7571-42E7-AEDB-441B005D8A95}</author>
    <author>tc={E0391F21-4DF8-4D3C-9435-36C680650FE2}</author>
    <author>tc={D5777D15-0120-46BE-8DDE-9634D59DACE1}</author>
    <author>tc={9B9ACA87-02E7-43C1-88DC-49E6D1DEDEC9}</author>
    <author>tc={371E3EAB-AC86-410C-845B-8A37447AC135}</author>
    <author>tc={E60DE39B-E6D2-4866-BE07-8005316969D6}</author>
    <author>tc={53C1A23A-9571-460D-96D4-36FE4211955E}</author>
    <author>tc={41C460BE-D035-44CF-8018-50F084F8CCDA}</author>
  </authors>
  <commentList>
    <comment ref="P6" authorId="0" shapeId="0" xr:uid="{E6DFD78D-9E33-46CF-82C7-91ABAFD99C59}">
      <text>
        <r>
          <rPr>
            <b/>
            <sz val="9"/>
            <color indexed="81"/>
            <rFont val="Tahoma"/>
            <charset val="1"/>
          </rPr>
          <t>Alberto Cardone:</t>
        </r>
        <r>
          <rPr>
            <sz val="9"/>
            <color indexed="81"/>
            <rFont val="Tahoma"/>
            <charset val="1"/>
          </rPr>
          <t xml:space="preserve">
da calcolare</t>
        </r>
      </text>
    </comment>
    <comment ref="P9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10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1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13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14" authorId="2" shapeId="0" xr:uid="{00000000-0006-0000-0000-000005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  <comment ref="P15" authorId="3" shapeId="0" xr:uid="{00000000-0006-0000-0000-000006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 (Calcolato con la formula a pagina 136 Tsatsaronis)
Edit: presi da: http://web.mit.edu/2.813/www/readings/APPENDIX.pdf</t>
      </text>
    </comment>
    <comment ref="P23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2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29" authorId="4" shapeId="0" xr:uid="{00000000-0006-0000-0000-000009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  <comment ref="P30" authorId="5" shapeId="0" xr:uid="{00000000-0006-0000-0000-00000A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  <comment ref="P31" authorId="6" shapeId="0" xr:uid="{00000000-0006-0000-0000-00000B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  <comment ref="M33" authorId="7" shapeId="0" xr:uid="{371E3EAB-AC86-410C-845B-8A37447AC13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-1090 sembra dare il compromesso migliore</t>
      </text>
    </comment>
    <comment ref="P34" authorId="8" shapeId="0" xr:uid="{00000000-0006-0000-0000-00000D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  <comment ref="M35" authorId="9" shapeId="0" xr:uid="{53C1A23A-9571-460D-96D4-36FE4211955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-220,5321 miglior compromesso</t>
      </text>
    </comment>
    <comment ref="P3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50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5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52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P53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Tallinus:</t>
        </r>
        <r>
          <rPr>
            <sz val="9"/>
            <color indexed="81"/>
            <rFont val="Tahoma"/>
            <family val="2"/>
          </rPr>
          <t xml:space="preserve">
Da calcolare</t>
        </r>
      </text>
    </comment>
    <comment ref="I59" authorId="10" shapeId="0" xr:uid="{41C460BE-D035-44CF-8018-50F084F8CCD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potrebbe essere un problema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tc={10E44C05-E227-4CE1-82DA-0759A8533E5A}</author>
    <author>tc={7884F31A-FA27-4477-A277-7FDC44AA5196}</author>
    <author>tc={ACCC2D78-91B7-4F30-A95B-C0B966600844}</author>
    <author>tc={2E0C9276-D28B-487B-9FB7-C7656B23C5E9}</author>
    <author>tc={CC3EEDE9-9B49-49EA-A2EF-542DF3B77AB1}</author>
    <author>tc={DCCE928A-986E-45E6-9500-EB2547537993}</author>
    <author>tc={AF8EF85E-6DB8-4798-BFCA-E8F0E78ECEB0}</author>
    <author>tc={F74350B4-6333-455F-8B0C-B62FB3BC8335}</author>
  </authors>
  <commentList>
    <comment ref="B10" authorId="0" shapeId="0" xr:uid="{00000000-0006-0000-02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Entropia di formazione</t>
      </text>
    </comment>
    <comment ref="B11" authorId="1" shapeId="0" xr:uid="{00000000-0006-0000-0200-000002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Entalpia di formazione a 298,15 K</t>
      </text>
    </comment>
    <comment ref="Q13" authorId="2" shapeId="0" xr:uid="{00000000-0006-0000-0200-000003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Calcolato con la formula a pagina 136 Tsatsaronis</t>
      </text>
    </comment>
    <comment ref="W13" authorId="3" shapeId="0" xr:uid="{00000000-0006-0000-0200-000004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  <comment ref="Y13" authorId="4" shapeId="0" xr:uid="{00000000-0006-0000-0200-000005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  <comment ref="Z13" authorId="5" shapeId="0" xr:uid="{00000000-0006-0000-0200-000006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  <comment ref="AA13" authorId="6" shapeId="0" xr:uid="{00000000-0006-0000-0200-000007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  <comment ref="AB13" authorId="7" shapeId="0" xr:uid="{00000000-0006-0000-0200-000008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Presi da http://web.mit.edu/2.813/www/readings/APPENDIX.pdf</t>
      </text>
    </comment>
  </commentList>
</comments>
</file>

<file path=xl/sharedStrings.xml><?xml version="1.0" encoding="utf-8"?>
<sst xmlns="http://schemas.openxmlformats.org/spreadsheetml/2006/main" count="295" uniqueCount="176">
  <si>
    <t>A</t>
  </si>
  <si>
    <t>B</t>
  </si>
  <si>
    <t>C</t>
  </si>
  <si>
    <t>D</t>
  </si>
  <si>
    <t>E</t>
  </si>
  <si>
    <t>F</t>
  </si>
  <si>
    <t>G</t>
  </si>
  <si>
    <t>H</t>
  </si>
  <si>
    <t>CaCO3</t>
  </si>
  <si>
    <t>Thermodynamic
constants</t>
  </si>
  <si>
    <t>Elements and Compounds</t>
  </si>
  <si>
    <t xml:space="preserve">
[500 K &lt; T &lt; 1700 K]</t>
  </si>
  <si>
    <t xml:space="preserve">
[298 K &lt; T &lt; 1300 K]</t>
  </si>
  <si>
    <t>CH4</t>
  </si>
  <si>
    <t>CO</t>
  </si>
  <si>
    <t xml:space="preserve">
[298 K &lt; T &lt; 1200 K]</t>
  </si>
  <si>
    <t>CO2</t>
  </si>
  <si>
    <t xml:space="preserve">
[298 K &lt; T &lt; 1000 K]</t>
  </si>
  <si>
    <t>H2</t>
  </si>
  <si>
    <t xml:space="preserve">
[1000 K &lt; T &lt; 2500 K]</t>
  </si>
  <si>
    <t xml:space="preserve">
[500 K &lt; T &lt; 2000 K]</t>
  </si>
  <si>
    <t>N2</t>
  </si>
  <si>
    <t xml:space="preserve">
[700 K &lt; T &lt; 2000 K]</t>
  </si>
  <si>
    <t>O2</t>
  </si>
  <si>
    <t xml:space="preserve">
[298 K &lt; T &lt; 3200 K]</t>
  </si>
  <si>
    <t>SO2</t>
  </si>
  <si>
    <t xml:space="preserve">
[1200 K &lt; T &lt; 6000 K]</t>
  </si>
  <si>
    <t xml:space="preserve">
[298 K &lt; T &lt; 1400 K]</t>
  </si>
  <si>
    <t>H2S</t>
  </si>
  <si>
    <t>[298 K &lt; T &lt; 1200 K]</t>
  </si>
  <si>
    <t>[1200 K &lt; T &lt; 6000 K]</t>
  </si>
  <si>
    <t>[882,117 K &lt; T &lt; 1400 K]</t>
  </si>
  <si>
    <t xml:space="preserve">
[298 K &lt; T &lt; 500 K]</t>
  </si>
  <si>
    <t>H2O_l</t>
  </si>
  <si>
    <t>H2_highT</t>
  </si>
  <si>
    <t>SO2_highT</t>
  </si>
  <si>
    <t>C_highT</t>
  </si>
  <si>
    <t>t</t>
  </si>
  <si>
    <r>
      <t>A*ln(t) + B*t + C*t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 + D*t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/3 − E/(2*t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+ G</t>
    </r>
  </si>
  <si>
    <t>S_O_CO2_T=298.15K</t>
  </si>
  <si>
    <t>H2O g</t>
  </si>
  <si>
    <t>H2O l</t>
  </si>
  <si>
    <t>kJ/kmol</t>
  </si>
  <si>
    <t>kJ/mol</t>
  </si>
  <si>
    <t>formula entropia</t>
  </si>
  <si>
    <t>O</t>
  </si>
  <si>
    <t>N</t>
  </si>
  <si>
    <t>S</t>
  </si>
  <si>
    <t>Ca</t>
  </si>
  <si>
    <t>CaO</t>
  </si>
  <si>
    <t>Fe</t>
  </si>
  <si>
    <t>Fe2O3</t>
  </si>
  <si>
    <t xml:space="preserve">
[1650 K &lt; T &lt; 5000 K]</t>
  </si>
  <si>
    <t>FeO_liquid</t>
  </si>
  <si>
    <t xml:space="preserve">
[298 K &lt; T &lt; 1650 K]</t>
  </si>
  <si>
    <t>FeO_solid</t>
  </si>
  <si>
    <t xml:space="preserve">
[1050 K &lt; T &lt; 2500 K]</t>
  </si>
  <si>
    <t>Nitrogen</t>
  </si>
  <si>
    <t>Oxygen</t>
  </si>
  <si>
    <t>Carbon dioxide</t>
  </si>
  <si>
    <t>Water</t>
  </si>
  <si>
    <t>Carbon(graphite)</t>
  </si>
  <si>
    <t>Hydrogen</t>
  </si>
  <si>
    <t>Sulfur</t>
  </si>
  <si>
    <t>Carbon monoxide</t>
  </si>
  <si>
    <t>Sulfur dioxide</t>
  </si>
  <si>
    <t>Nitrogen monoxide</t>
  </si>
  <si>
    <t>Nitrogen dioxide</t>
  </si>
  <si>
    <t>Hydrogen peroxide</t>
  </si>
  <si>
    <t>Hydrogen sulfide</t>
  </si>
  <si>
    <t>Ammonia</t>
  </si>
  <si>
    <t>Methane</t>
  </si>
  <si>
    <t>Acetylene</t>
  </si>
  <si>
    <t>Ethylene</t>
  </si>
  <si>
    <t>Ethane</t>
  </si>
  <si>
    <t>Propylene</t>
  </si>
  <si>
    <t>Propane</t>
  </si>
  <si>
    <t>n-Butane</t>
  </si>
  <si>
    <t>n-Pentane</t>
  </si>
  <si>
    <t>Benzene</t>
  </si>
  <si>
    <t>Octane</t>
  </si>
  <si>
    <t>Methanol</t>
  </si>
  <si>
    <t>Methanol_l</t>
  </si>
  <si>
    <t>Ethyl alcohol</t>
  </si>
  <si>
    <t>Ethyl alcohol_l</t>
  </si>
  <si>
    <t>Model I</t>
  </si>
  <si>
    <t>Model II</t>
  </si>
  <si>
    <t>Unit of measure = kJ/kmol</t>
  </si>
  <si>
    <t>H2O_g</t>
  </si>
  <si>
    <t xml:space="preserve">
[700 K &lt; T &lt; 1042 K]</t>
  </si>
  <si>
    <t>Fe2O3_highT</t>
  </si>
  <si>
    <t xml:space="preserve">
[298 K &lt; T &lt; 950 K]</t>
  </si>
  <si>
    <t>Ca_gas</t>
  </si>
  <si>
    <t xml:space="preserve">
[1774 K &lt; T &lt; 6000 K]</t>
  </si>
  <si>
    <t>Ca_liquid</t>
  </si>
  <si>
    <t xml:space="preserve">
[1115 K &lt; T &lt; 1774 K]</t>
  </si>
  <si>
    <t xml:space="preserve">
[298 K &lt; T &lt; 1100 K]</t>
  </si>
  <si>
    <t>Ca_solid(alpha)</t>
  </si>
  <si>
    <t>Ca_solid(beta)</t>
  </si>
  <si>
    <t xml:space="preserve">
[298 K &lt; T &lt; 716 K]</t>
  </si>
  <si>
    <t xml:space="preserve">
[716 K &lt; T &lt; 1115 K]</t>
  </si>
  <si>
    <t>Fe_solid(alpha-delta)</t>
  </si>
  <si>
    <t>Entropie di formazione a 25 gradi centigradi e 1 bar [J/mol]</t>
  </si>
  <si>
    <t>Thermodynamic constants</t>
  </si>
  <si>
    <t>Standard entropy of formation
(298,15 K - 1 bar)</t>
  </si>
  <si>
    <t>G [J/mol]</t>
  </si>
  <si>
    <t>F [kJ/mol]</t>
  </si>
  <si>
    <t>E [kJ/mol]</t>
  </si>
  <si>
    <t>H [kJ/mol]</t>
  </si>
  <si>
    <t>D [kJ/mol]</t>
  </si>
  <si>
    <t>C [kJ/mol]</t>
  </si>
  <si>
    <t>B [kJ/mol]</t>
  </si>
  <si>
    <t>A [kJ/mol]</t>
  </si>
  <si>
    <t>Components</t>
  </si>
  <si>
    <t>[K]</t>
  </si>
  <si>
    <t>[kJ/mol]</t>
  </si>
  <si>
    <t>Standard Chemical Exergy
(298.15 K - 1 atm)</t>
  </si>
  <si>
    <t>Element matrix</t>
  </si>
  <si>
    <t>[-]</t>
  </si>
  <si>
    <t>C(g)</t>
  </si>
  <si>
    <t>H2O(g)</t>
  </si>
  <si>
    <t>H2O(l)</t>
  </si>
  <si>
    <t>S(g)</t>
  </si>
  <si>
    <t>Standard molar chemical exergy
[kJ/mol] - 298.15 K and 1 atm</t>
  </si>
  <si>
    <t>Temperature 
range</t>
  </si>
  <si>
    <t>FeO(s)</t>
  </si>
  <si>
    <t>[J/mol/K]</t>
  </si>
  <si>
    <t>Somma Co+H2</t>
  </si>
  <si>
    <t>Fe2O3*3</t>
  </si>
  <si>
    <r>
      <t xml:space="preserve">Variando </t>
    </r>
    <r>
      <rPr>
        <sz val="11"/>
        <color rgb="FFFF0000"/>
        <rFont val="Calibri"/>
        <family val="2"/>
        <scheme val="minor"/>
      </rPr>
      <t>AAA</t>
    </r>
  </si>
  <si>
    <t xml:space="preserve">Impongp </t>
  </si>
  <si>
    <t>Fe2O3(s)</t>
  </si>
  <si>
    <r>
      <t>Ca_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(s)</t>
    </r>
  </si>
  <si>
    <t>Ca_β(s)</t>
  </si>
  <si>
    <t>CaCO3(s)</t>
  </si>
  <si>
    <t>Fe_α-δ(s)</t>
  </si>
  <si>
    <t>CaO(s)</t>
  </si>
  <si>
    <t>Fe3O4(s)</t>
  </si>
  <si>
    <t>Standard Chemical Exergy - Model II
[kJ/mol]</t>
  </si>
  <si>
    <t>Substance</t>
  </si>
  <si>
    <r>
      <t>T</t>
    </r>
    <r>
      <rPr>
        <sz val="8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= 298.15 K</t>
    </r>
  </si>
  <si>
    <r>
      <t>P</t>
    </r>
    <r>
      <rPr>
        <sz val="8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= 1 atm</t>
    </r>
  </si>
  <si>
    <t>Reference
conditions</t>
  </si>
  <si>
    <t>Standard entalphy of formation (298.15k -1 bar)</t>
  </si>
  <si>
    <t>[Kj/mol]</t>
  </si>
  <si>
    <t>m</t>
  </si>
  <si>
    <t>o</t>
  </si>
  <si>
    <t>(s)</t>
  </si>
  <si>
    <t>(g)</t>
  </si>
  <si>
    <t>g</t>
  </si>
  <si>
    <t>l</t>
  </si>
  <si>
    <r>
      <t>Ca</t>
    </r>
    <r>
      <rPr>
        <sz val="11"/>
        <color theme="1"/>
        <rFont val="Calibri"/>
        <family val="2"/>
      </rPr>
      <t>α</t>
    </r>
  </si>
  <si>
    <t>s</t>
  </si>
  <si>
    <t>Caβ</t>
  </si>
  <si>
    <t>Feαδ</t>
  </si>
  <si>
    <r>
      <t>Fe</t>
    </r>
    <r>
      <rPr>
        <sz val="11"/>
        <color theme="1"/>
        <rFont val="Calibri"/>
        <family val="2"/>
      </rPr>
      <t>γ</t>
    </r>
  </si>
  <si>
    <t>Fe3O4</t>
  </si>
  <si>
    <t>FeO</t>
  </si>
  <si>
    <t>H2O</t>
  </si>
  <si>
    <t>caco3 vecchio</t>
  </si>
  <si>
    <t>prima combinazione</t>
  </si>
  <si>
    <t>seconda combinazione</t>
  </si>
  <si>
    <t>terza combinazione</t>
  </si>
  <si>
    <t>quarta combinazione</t>
  </si>
  <si>
    <t>Quinta combinazione</t>
  </si>
  <si>
    <t>migliore</t>
  </si>
  <si>
    <t>+</t>
  </si>
  <si>
    <t>-</t>
  </si>
  <si>
    <t>feo gas</t>
  </si>
  <si>
    <t>funziona</t>
  </si>
  <si>
    <t>troppo efficiente?</t>
  </si>
  <si>
    <t xml:space="preserve">ok </t>
  </si>
  <si>
    <t>meno calore e meno feo</t>
  </si>
  <si>
    <t>miglior compromesso</t>
  </si>
  <si>
    <t>C12H26</t>
  </si>
  <si>
    <t>C10H22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</si>
</sst>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000"/>
    <numFmt numFmtId="167" formatCode="0.0"/>
    <numFmt numFmtId="168" formatCode="0.000"/>
    <numFmt numFmtId="169" formatCode="0.000000E+00"/>
  </numFmts>
  <fonts count="1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Border="1"/>
    <xf numFmtId="166" fontId="0" fillId="0" borderId="0" xfId="0" applyNumberFormat="1" applyBorder="1"/>
    <xf numFmtId="165" fontId="0" fillId="0" borderId="4" xfId="0" applyNumberFormat="1" applyBorder="1"/>
    <xf numFmtId="166" fontId="0" fillId="0" borderId="4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7" fontId="0" fillId="0" borderId="5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8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/>
    <xf numFmtId="1" fontId="0" fillId="0" borderId="0" xfId="0" applyNumberFormat="1"/>
    <xf numFmtId="0" fontId="0" fillId="0" borderId="1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NumberFormat="1" applyFill="1" applyBorder="1"/>
    <xf numFmtId="164" fontId="0" fillId="0" borderId="0" xfId="0" applyNumberFormat="1" applyFill="1" applyBorder="1"/>
    <xf numFmtId="168" fontId="0" fillId="0" borderId="0" xfId="0" applyNumberFormat="1" applyFill="1" applyBorder="1"/>
    <xf numFmtId="0" fontId="0" fillId="0" borderId="0" xfId="0" applyAlignment="1">
      <alignment wrapText="1"/>
    </xf>
    <xf numFmtId="0" fontId="0" fillId="0" borderId="0" xfId="0" applyFill="1"/>
    <xf numFmtId="2" fontId="0" fillId="0" borderId="0" xfId="0" applyNumberFormat="1" applyFill="1" applyBorder="1"/>
    <xf numFmtId="164" fontId="0" fillId="0" borderId="0" xfId="0" applyNumberFormat="1" applyFill="1"/>
    <xf numFmtId="0" fontId="0" fillId="0" borderId="0" xfId="0" applyAlignment="1">
      <alignment vertical="center" wrapText="1"/>
    </xf>
    <xf numFmtId="169" fontId="0" fillId="0" borderId="0" xfId="0" applyNumberFormat="1" applyBorder="1"/>
    <xf numFmtId="166" fontId="0" fillId="0" borderId="5" xfId="0" applyNumberFormat="1" applyBorder="1"/>
    <xf numFmtId="164" fontId="0" fillId="0" borderId="0" xfId="0" applyNumberFormat="1" applyBorder="1" applyAlignment="1">
      <alignment horizontal="right" vertical="center"/>
    </xf>
    <xf numFmtId="16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8" fontId="0" fillId="0" borderId="0" xfId="0" applyNumberFormat="1" applyFill="1" applyBorder="1" applyAlignment="1">
      <alignment horizontal="center" vertical="center"/>
    </xf>
    <xf numFmtId="168" fontId="0" fillId="0" borderId="0" xfId="0" applyNumberFormat="1" applyFill="1" applyBorder="1" applyAlignment="1">
      <alignment vertical="center"/>
    </xf>
    <xf numFmtId="168" fontId="0" fillId="3" borderId="0" xfId="0" applyNumberForma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0" fillId="0" borderId="24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65" fontId="0" fillId="0" borderId="24" xfId="0" applyNumberFormat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168" fontId="0" fillId="0" borderId="2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horizontal="left" vertical="center"/>
    </xf>
    <xf numFmtId="1" fontId="0" fillId="0" borderId="22" xfId="0" applyNumberFormat="1" applyBorder="1" applyAlignment="1">
      <alignment vertical="center"/>
    </xf>
    <xf numFmtId="1" fontId="0" fillId="0" borderId="23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left" vertical="center"/>
    </xf>
    <xf numFmtId="1" fontId="0" fillId="0" borderId="0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5" fontId="0" fillId="0" borderId="2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5" fontId="0" fillId="0" borderId="24" xfId="0" applyNumberForma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0" borderId="4" xfId="0" applyNumberFormat="1" applyFill="1" applyBorder="1" applyAlignment="1">
      <alignment vertical="center"/>
    </xf>
    <xf numFmtId="166" fontId="0" fillId="0" borderId="24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166" fontId="0" fillId="0" borderId="24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167" fontId="0" fillId="0" borderId="4" xfId="0" applyNumberFormat="1" applyFill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9" fontId="0" fillId="0" borderId="0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6" fontId="0" fillId="0" borderId="4" xfId="0" applyNumberFormat="1" applyBorder="1" applyAlignment="1">
      <alignment horizontal="right" vertical="center"/>
    </xf>
    <xf numFmtId="168" fontId="0" fillId="0" borderId="24" xfId="0" applyNumberForma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66" fontId="0" fillId="0" borderId="4" xfId="0" applyNumberFormat="1" applyFill="1" applyBorder="1" applyAlignment="1">
      <alignment vertical="center"/>
    </xf>
    <xf numFmtId="165" fontId="0" fillId="0" borderId="4" xfId="0" applyNumberFormat="1" applyFill="1" applyBorder="1" applyAlignment="1">
      <alignment vertical="center"/>
    </xf>
    <xf numFmtId="2" fontId="0" fillId="0" borderId="24" xfId="0" applyNumberFormat="1" applyFill="1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164" fontId="0" fillId="0" borderId="24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horizontal="left" vertical="center"/>
    </xf>
    <xf numFmtId="1" fontId="0" fillId="0" borderId="5" xfId="0" applyNumberFormat="1" applyBorder="1" applyAlignment="1">
      <alignment vertical="center"/>
    </xf>
    <xf numFmtId="1" fontId="0" fillId="0" borderId="6" xfId="0" applyNumberFormat="1" applyBorder="1" applyAlignment="1">
      <alignment vertical="center"/>
    </xf>
    <xf numFmtId="165" fontId="0" fillId="0" borderId="25" xfId="0" applyNumberFormat="1" applyBorder="1" applyAlignment="1">
      <alignment vertical="center"/>
    </xf>
    <xf numFmtId="166" fontId="0" fillId="0" borderId="5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6" fontId="0" fillId="0" borderId="22" xfId="0" applyNumberFormat="1" applyBorder="1" applyAlignment="1">
      <alignment vertical="center"/>
    </xf>
    <xf numFmtId="165" fontId="0" fillId="0" borderId="22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0" fillId="0" borderId="21" xfId="0" applyBorder="1" applyAlignment="1">
      <alignment vertical="center"/>
    </xf>
    <xf numFmtId="1" fontId="0" fillId="0" borderId="22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" fontId="0" fillId="0" borderId="5" xfId="0" applyNumberFormat="1" applyFill="1" applyBorder="1" applyAlignment="1">
      <alignment vertical="center"/>
    </xf>
    <xf numFmtId="165" fontId="0" fillId="0" borderId="21" xfId="0" applyNumberFormat="1" applyBorder="1" applyAlignment="1">
      <alignment vertical="center"/>
    </xf>
    <xf numFmtId="168" fontId="0" fillId="0" borderId="23" xfId="0" applyNumberFormat="1" applyFill="1" applyBorder="1" applyAlignment="1">
      <alignment horizontal="center" vertical="center"/>
    </xf>
    <xf numFmtId="168" fontId="0" fillId="0" borderId="4" xfId="0" applyNumberFormat="1" applyFill="1" applyBorder="1" applyAlignment="1">
      <alignment horizontal="center" vertical="center"/>
    </xf>
    <xf numFmtId="168" fontId="2" fillId="0" borderId="4" xfId="0" applyNumberFormat="1" applyFont="1" applyFill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1" fontId="7" fillId="0" borderId="24" xfId="0" applyNumberFormat="1" applyFont="1" applyFill="1" applyBorder="1" applyAlignment="1">
      <alignment vertical="center"/>
    </xf>
    <xf numFmtId="1" fontId="7" fillId="0" borderId="4" xfId="0" applyNumberFormat="1" applyFont="1" applyFill="1" applyBorder="1" applyAlignment="1">
      <alignment vertical="center"/>
    </xf>
    <xf numFmtId="168" fontId="7" fillId="0" borderId="24" xfId="0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8" fontId="7" fillId="0" borderId="4" xfId="0" applyNumberFormat="1" applyFont="1" applyFill="1" applyBorder="1" applyAlignment="1">
      <alignment vertical="center"/>
    </xf>
    <xf numFmtId="168" fontId="7" fillId="0" borderId="4" xfId="0" applyNumberFormat="1" applyFon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8" fontId="0" fillId="0" borderId="2" xfId="0" applyNumberFormat="1" applyFill="1" applyBorder="1" applyAlignment="1">
      <alignment horizontal="center" vertical="center"/>
    </xf>
    <xf numFmtId="168" fontId="7" fillId="0" borderId="2" xfId="0" applyNumberFormat="1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3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20" xfId="0" applyBorder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/>
    <xf numFmtId="164" fontId="0" fillId="5" borderId="4" xfId="0" applyNumberForma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/>
    <xf numFmtId="0" fontId="0" fillId="0" borderId="4" xfId="0" applyBorder="1"/>
    <xf numFmtId="0" fontId="0" fillId="0" borderId="24" xfId="0" applyBorder="1"/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gi tallarico" id="{DA1D7E04-49C9-4999-82F5-652614BAA8B6}" userId="6e8648d80713dda9" providerId="Windows Live"/>
  <person displayName="Alberto" id="{D04A6276-D7B6-4133-9FE8-39F6CA51F82C}" userId="e0b401c1484b452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19-06-27T10:41:47.92" personId="{DA1D7E04-49C9-4999-82F5-652614BAA8B6}" id="{58ECD7C4-640B-48A4-AFE2-92BE3E9589E9}">
    <text>Presi da http://web.mit.edu/2.813/www/readings/APPENDIX.pdf</text>
  </threadedComment>
  <threadedComment ref="P15" dT="2019-06-27T10:14:51.01" personId="{DA1D7E04-49C9-4999-82F5-652614BAA8B6}" id="{BA36F33A-7571-42E7-AEDB-441B005D8A95}">
    <text>NO (Calcolato con la formula a pagina 136 Tsatsaronis)
Edit: presi da: http://web.mit.edu/2.813/www/readings/APPENDIX.pdf</text>
  </threadedComment>
  <threadedComment ref="P29" dT="2019-06-27T10:40:46.99" personId="{DA1D7E04-49C9-4999-82F5-652614BAA8B6}" id="{E0391F21-4DF8-4D3C-9435-36C680650FE2}">
    <text>Presi da http://web.mit.edu/2.813/www/readings/APPENDIX.pdf</text>
  </threadedComment>
  <threadedComment ref="P30" dT="2019-06-27T10:40:46.99" personId="{DA1D7E04-49C9-4999-82F5-652614BAA8B6}" id="{D5777D15-0120-46BE-8DDE-9634D59DACE1}">
    <text>Presi da http://web.mit.edu/2.813/www/readings/APPENDIX.pdf</text>
  </threadedComment>
  <threadedComment ref="P31" dT="2019-06-27T10:40:46.99" personId="{DA1D7E04-49C9-4999-82F5-652614BAA8B6}" id="{9B9ACA87-02E7-43C1-88DC-49E6D1DEDEC9}">
    <text>Presi da http://web.mit.edu/2.813/www/readings/APPENDIX.pdf</text>
  </threadedComment>
  <threadedComment ref="M33" dT="2022-10-27T19:14:24.20" personId="{D04A6276-D7B6-4133-9FE8-39F6CA51F82C}" id="{371E3EAB-AC86-410C-845B-8A37447AC135}">
    <text>-1090 sembra dare il compromesso migliore</text>
  </threadedComment>
  <threadedComment ref="P34" dT="2019-06-27T10:40:19.91" personId="{DA1D7E04-49C9-4999-82F5-652614BAA8B6}" id="{E60DE39B-E6D2-4866-BE07-8005316969D6}">
    <text>Presi da http://web.mit.edu/2.813/www/readings/APPENDIX.pdf</text>
  </threadedComment>
  <threadedComment ref="M35" dT="2022-10-28T14:59:07.68" personId="{D04A6276-D7B6-4133-9FE8-39F6CA51F82C}" id="{53C1A23A-9571-460D-96D4-36FE4211955E}">
    <text>-220,5321 miglior compromesso</text>
  </threadedComment>
  <threadedComment ref="I59" dT="2022-08-08T16:53:15.01" personId="{D04A6276-D7B6-4133-9FE8-39F6CA51F82C}" id="{41C460BE-D035-44CF-8018-50F084F8CCDA}">
    <text>potrebbe essere un problema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0" dT="2019-05-23T14:41:41.65" personId="{DA1D7E04-49C9-4999-82F5-652614BAA8B6}" id="{10E44C05-E227-4CE1-82DA-0759A8533E5A}">
    <text>Entropia di formazione</text>
  </threadedComment>
  <threadedComment ref="B11" dT="2019-05-23T14:41:28.16" personId="{DA1D7E04-49C9-4999-82F5-652614BAA8B6}" id="{7884F31A-FA27-4477-A277-7FDC44AA5196}">
    <text>Entalpia di formazione a 298,15 K</text>
  </threadedComment>
  <threadedComment ref="Q13" dT="2019-06-27T10:14:51.01" personId="{DA1D7E04-49C9-4999-82F5-652614BAA8B6}" id="{ACCC2D78-91B7-4F30-A95B-C0B966600844}">
    <text>Calcolato con la formula a pagina 136 Tsatsaronis</text>
  </threadedComment>
  <threadedComment ref="W13" dT="2019-06-27T10:41:47.92" personId="{DA1D7E04-49C9-4999-82F5-652614BAA8B6}" id="{2E0C9276-D28B-487B-9FB7-C7656B23C5E9}">
    <text>Presi da http://web.mit.edu/2.813/www/readings/APPENDIX.pdf</text>
  </threadedComment>
  <threadedComment ref="Y13" dT="2019-06-27T10:40:19.91" personId="{DA1D7E04-49C9-4999-82F5-652614BAA8B6}" id="{CC3EEDE9-9B49-49EA-A2EF-542DF3B77AB1}">
    <text>Presi da http://web.mit.edu/2.813/www/readings/APPENDIX.pdf</text>
  </threadedComment>
  <threadedComment ref="Z13" dT="2019-06-27T10:40:40.30" personId="{DA1D7E04-49C9-4999-82F5-652614BAA8B6}" id="{DCCE928A-986E-45E6-9500-EB2547537993}">
    <text>Presi da http://web.mit.edu/2.813/www/readings/APPENDIX.pdf</text>
  </threadedComment>
  <threadedComment ref="AA13" dT="2019-06-27T10:40:44.06" personId="{DA1D7E04-49C9-4999-82F5-652614BAA8B6}" id="{AF8EF85E-6DB8-4798-BFCA-E8F0E78ECEB0}">
    <text>Presi da http://web.mit.edu/2.813/www/readings/APPENDIX.pdf</text>
  </threadedComment>
  <threadedComment ref="AB13" dT="2019-06-27T10:40:46.99" personId="{DA1D7E04-49C9-4999-82F5-652614BAA8B6}" id="{F74350B4-6333-455F-8B0C-B62FB3BC8335}">
    <text>Presi da http://web.mit.edu/2.813/www/readings/APPENDIX.pdf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77"/>
  <sheetViews>
    <sheetView tabSelected="1" zoomScaleNormal="100" workbookViewId="0">
      <pane ySplit="5" topLeftCell="A13" activePane="bottomLeft" state="frozen"/>
      <selection pane="bottomLeft" activeCell="P19" sqref="P19"/>
    </sheetView>
  </sheetViews>
  <sheetFormatPr defaultRowHeight="15" x14ac:dyDescent="0.25"/>
  <cols>
    <col min="1" max="1" width="11.42578125" bestFit="1" customWidth="1"/>
    <col min="2" max="2" width="5" bestFit="1" customWidth="1"/>
    <col min="3" max="3" width="16.5703125" bestFit="1" customWidth="1"/>
    <col min="4" max="4" width="5.5703125" customWidth="1"/>
    <col min="5" max="5" width="5.85546875" customWidth="1"/>
    <col min="6" max="6" width="9.5703125" bestFit="1" customWidth="1"/>
    <col min="7" max="7" width="12.5703125" bestFit="1" customWidth="1"/>
    <col min="8" max="8" width="15.5703125" customWidth="1"/>
    <col min="9" max="9" width="12.5703125" bestFit="1" customWidth="1"/>
    <col min="10" max="10" width="13.140625" bestFit="1" customWidth="1"/>
    <col min="11" max="11" width="10.42578125" bestFit="1" customWidth="1"/>
    <col min="12" max="12" width="10.85546875" bestFit="1" customWidth="1"/>
    <col min="13" max="13" width="10.42578125" bestFit="1" customWidth="1"/>
    <col min="14" max="14" width="30.140625" customWidth="1"/>
    <col min="15" max="15" width="26.42578125" bestFit="1" customWidth="1"/>
    <col min="16" max="16" width="22.140625" bestFit="1" customWidth="1"/>
    <col min="17" max="23" width="2.85546875" customWidth="1"/>
    <col min="25" max="25" width="0" hidden="1" customWidth="1"/>
    <col min="29" max="29" width="13.140625" bestFit="1" customWidth="1"/>
  </cols>
  <sheetData>
    <row r="2" spans="2:30" x14ac:dyDescent="0.25">
      <c r="K2" s="126"/>
    </row>
    <row r="4" spans="2:30" ht="46.7" customHeight="1" x14ac:dyDescent="0.25">
      <c r="C4" s="59" t="s">
        <v>113</v>
      </c>
      <c r="D4" s="162" t="s">
        <v>124</v>
      </c>
      <c r="E4" s="161"/>
      <c r="F4" s="161" t="s">
        <v>103</v>
      </c>
      <c r="G4" s="161"/>
      <c r="H4" s="161"/>
      <c r="I4" s="161"/>
      <c r="J4" s="161"/>
      <c r="K4" s="161"/>
      <c r="L4" s="161"/>
      <c r="M4" s="161"/>
      <c r="N4" s="142" t="s">
        <v>143</v>
      </c>
      <c r="O4" s="60" t="s">
        <v>104</v>
      </c>
      <c r="P4" s="60" t="s">
        <v>116</v>
      </c>
      <c r="Q4" s="161" t="s">
        <v>117</v>
      </c>
      <c r="R4" s="161"/>
      <c r="S4" s="161"/>
      <c r="T4" s="161"/>
      <c r="U4" s="161"/>
      <c r="V4" s="161"/>
      <c r="W4" s="161"/>
    </row>
    <row r="5" spans="2:30" ht="15.75" thickBot="1" x14ac:dyDescent="0.3">
      <c r="C5" s="59" t="s">
        <v>118</v>
      </c>
      <c r="D5" s="161" t="s">
        <v>114</v>
      </c>
      <c r="E5" s="161"/>
      <c r="F5" s="59" t="s">
        <v>112</v>
      </c>
      <c r="G5" s="59" t="s">
        <v>111</v>
      </c>
      <c r="H5" s="59" t="s">
        <v>110</v>
      </c>
      <c r="I5" s="59" t="s">
        <v>109</v>
      </c>
      <c r="J5" s="59" t="s">
        <v>107</v>
      </c>
      <c r="K5" s="59" t="s">
        <v>106</v>
      </c>
      <c r="L5" s="59" t="s">
        <v>105</v>
      </c>
      <c r="M5" s="59" t="s">
        <v>108</v>
      </c>
      <c r="N5" s="142" t="s">
        <v>144</v>
      </c>
      <c r="O5" s="59" t="s">
        <v>126</v>
      </c>
      <c r="P5" s="59" t="s">
        <v>115</v>
      </c>
      <c r="Q5" s="124" t="s">
        <v>2</v>
      </c>
      <c r="R5" s="124" t="s">
        <v>45</v>
      </c>
      <c r="S5" s="124" t="s">
        <v>7</v>
      </c>
      <c r="T5" s="124" t="s">
        <v>46</v>
      </c>
      <c r="U5" s="124" t="s">
        <v>47</v>
      </c>
      <c r="V5" s="124" t="s">
        <v>48</v>
      </c>
      <c r="W5" s="124" t="s">
        <v>50</v>
      </c>
    </row>
    <row r="6" spans="2:30" ht="15.75" thickBot="1" x14ac:dyDescent="0.3">
      <c r="B6" t="s">
        <v>147</v>
      </c>
      <c r="C6" s="62" t="s">
        <v>2</v>
      </c>
      <c r="D6" s="114">
        <v>298</v>
      </c>
      <c r="E6" s="63">
        <v>1200</v>
      </c>
      <c r="F6" s="118">
        <v>8.43</v>
      </c>
      <c r="G6" s="111">
        <v>0</v>
      </c>
      <c r="H6" s="111">
        <v>0</v>
      </c>
      <c r="I6" s="111">
        <v>0</v>
      </c>
      <c r="J6" s="111">
        <v>0</v>
      </c>
      <c r="K6" s="111">
        <v>3.7682099999999998</v>
      </c>
      <c r="L6" s="111">
        <v>48.031999999999996</v>
      </c>
      <c r="M6" s="112">
        <v>1.25607</v>
      </c>
      <c r="N6" s="147">
        <v>0</v>
      </c>
      <c r="O6" s="1">
        <v>5.74</v>
      </c>
      <c r="P6" s="119">
        <v>409.87</v>
      </c>
      <c r="Q6" s="115">
        <v>1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5">
        <v>0</v>
      </c>
      <c r="AA6" s="125">
        <v>3.3899999999999997</v>
      </c>
    </row>
    <row r="7" spans="2:30" ht="15.75" thickBot="1" x14ac:dyDescent="0.3">
      <c r="B7" t="s">
        <v>148</v>
      </c>
      <c r="C7" s="62" t="s">
        <v>2</v>
      </c>
      <c r="D7" s="114">
        <v>298</v>
      </c>
      <c r="E7" s="63">
        <v>1200</v>
      </c>
      <c r="F7" s="118">
        <v>43.067590000000003</v>
      </c>
      <c r="G7" s="111">
        <v>110.9932</v>
      </c>
      <c r="H7" s="110">
        <v>-73.26979</v>
      </c>
      <c r="I7" s="110">
        <v>18.258009999999999</v>
      </c>
      <c r="J7" s="109">
        <v>-0.80080899999999999</v>
      </c>
      <c r="K7" s="111">
        <v>959.20709999999997</v>
      </c>
      <c r="L7" s="111">
        <v>259.58499999999998</v>
      </c>
      <c r="M7" s="112">
        <v>979.05600000000004</v>
      </c>
      <c r="N7" s="147">
        <v>716.67</v>
      </c>
      <c r="O7" s="1">
        <v>241.96799999999999</v>
      </c>
      <c r="P7" s="119">
        <v>409.87</v>
      </c>
      <c r="Q7" s="115">
        <v>1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5">
        <v>0</v>
      </c>
      <c r="AA7" s="125">
        <v>3.3899999999999997</v>
      </c>
    </row>
    <row r="8" spans="2:30" x14ac:dyDescent="0.25">
      <c r="B8" t="s">
        <v>149</v>
      </c>
      <c r="C8" s="66" t="s">
        <v>2</v>
      </c>
      <c r="D8" s="71">
        <v>1200</v>
      </c>
      <c r="E8" s="67">
        <v>6000</v>
      </c>
      <c r="F8" s="90">
        <v>107.7757</v>
      </c>
      <c r="G8" s="74">
        <v>2.3798560000000002</v>
      </c>
      <c r="H8" s="74">
        <v>-0.46437800000000001</v>
      </c>
      <c r="I8" s="74">
        <v>3.1272000000000001E-2</v>
      </c>
      <c r="J8" s="75">
        <v>-12.016909999999999</v>
      </c>
      <c r="K8" s="76">
        <v>917.92359999999996</v>
      </c>
      <c r="L8" s="76">
        <v>332.30500000000001</v>
      </c>
      <c r="M8" s="78">
        <v>979.05600000000004</v>
      </c>
      <c r="N8" s="147">
        <v>716.67</v>
      </c>
      <c r="O8" s="1">
        <v>241.96799999999999</v>
      </c>
      <c r="P8" s="119">
        <v>409.87</v>
      </c>
      <c r="Q8" s="113">
        <v>1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9">
        <v>0</v>
      </c>
    </row>
    <row r="9" spans="2:30" x14ac:dyDescent="0.25">
      <c r="B9" t="s">
        <v>150</v>
      </c>
      <c r="C9" s="66" t="s">
        <v>48</v>
      </c>
      <c r="D9" s="71">
        <v>1115</v>
      </c>
      <c r="E9" s="67">
        <v>1774</v>
      </c>
      <c r="F9" s="77">
        <v>35.000039999999998</v>
      </c>
      <c r="G9" s="89">
        <f>1.119602*10^-10</f>
        <v>1.1196020000000001E-10</v>
      </c>
      <c r="H9" s="89">
        <f>-8.292981*10^-11</f>
        <v>-8.2929809999999985E-11</v>
      </c>
      <c r="I9" s="89">
        <f>1.87888*10^-11</f>
        <v>1.8788799999999999E-11</v>
      </c>
      <c r="J9" s="89">
        <f>-1.912569*10^-12</f>
        <v>-1.912569E-12</v>
      </c>
      <c r="K9" s="74">
        <v>-2.6469459999999998</v>
      </c>
      <c r="L9" s="75">
        <v>87.86609</v>
      </c>
      <c r="M9" s="88">
        <v>7.7880149999999997</v>
      </c>
      <c r="N9" s="18">
        <v>7.9</v>
      </c>
      <c r="O9" s="152">
        <v>45.51</v>
      </c>
      <c r="P9" s="121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1</v>
      </c>
      <c r="W9" s="69">
        <v>0</v>
      </c>
      <c r="AC9" s="32">
        <f>Z11+Z12</f>
        <v>1.6949999999999998</v>
      </c>
      <c r="AD9">
        <f>Z13*3</f>
        <v>1.6949999999999998</v>
      </c>
    </row>
    <row r="10" spans="2:30" x14ac:dyDescent="0.25">
      <c r="B10" t="s">
        <v>149</v>
      </c>
      <c r="C10" s="66" t="s">
        <v>48</v>
      </c>
      <c r="D10" s="71">
        <v>1774</v>
      </c>
      <c r="E10" s="67">
        <v>6000</v>
      </c>
      <c r="F10" s="77">
        <v>121.547</v>
      </c>
      <c r="G10" s="74">
        <v>-74.953900000000004</v>
      </c>
      <c r="H10" s="74">
        <v>19.1723</v>
      </c>
      <c r="I10" s="74">
        <v>-1.4008210000000001</v>
      </c>
      <c r="J10" s="74">
        <v>-64.513400000000004</v>
      </c>
      <c r="K10" s="75">
        <v>42.235399999999998</v>
      </c>
      <c r="L10" s="76">
        <v>217.447</v>
      </c>
      <c r="M10" s="78">
        <v>177.8</v>
      </c>
      <c r="N10" s="17">
        <v>177.8</v>
      </c>
      <c r="O10" s="152">
        <v>154.887</v>
      </c>
      <c r="P10" s="121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1</v>
      </c>
      <c r="W10" s="69">
        <v>0</v>
      </c>
      <c r="AC10" t="s">
        <v>127</v>
      </c>
      <c r="AD10" t="s">
        <v>128</v>
      </c>
    </row>
    <row r="11" spans="2:30" x14ac:dyDescent="0.25">
      <c r="B11" t="s">
        <v>152</v>
      </c>
      <c r="C11" s="66" t="s">
        <v>151</v>
      </c>
      <c r="D11" s="71">
        <v>298</v>
      </c>
      <c r="E11" s="67">
        <v>1100</v>
      </c>
      <c r="F11" s="77">
        <v>19.775169999999999</v>
      </c>
      <c r="G11" s="74">
        <v>10.108129999999999</v>
      </c>
      <c r="H11" s="74">
        <v>14.50338</v>
      </c>
      <c r="I11" s="74">
        <v>-5.5294910000000002</v>
      </c>
      <c r="J11" s="74">
        <v>0.17803099999999999</v>
      </c>
      <c r="K11" s="74">
        <v>-5.862997</v>
      </c>
      <c r="L11" s="75">
        <v>62.916060000000002</v>
      </c>
      <c r="M11" s="84">
        <v>0</v>
      </c>
      <c r="N11" s="18">
        <v>7.9</v>
      </c>
      <c r="O11" s="152">
        <v>41.59</v>
      </c>
      <c r="P11" s="120">
        <v>729.5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1</v>
      </c>
      <c r="W11" s="69">
        <v>0</v>
      </c>
      <c r="X11" t="s">
        <v>14</v>
      </c>
      <c r="Y11" s="113">
        <v>1</v>
      </c>
      <c r="Z11">
        <f>0.15*AA7</f>
        <v>0.50849999999999995</v>
      </c>
    </row>
    <row r="12" spans="2:30" x14ac:dyDescent="0.25">
      <c r="B12" t="s">
        <v>152</v>
      </c>
      <c r="C12" s="66" t="s">
        <v>153</v>
      </c>
      <c r="D12" s="71">
        <v>298</v>
      </c>
      <c r="E12" s="67">
        <v>716</v>
      </c>
      <c r="F12" s="77">
        <v>11.11735</v>
      </c>
      <c r="G12" s="74">
        <v>38.52364</v>
      </c>
      <c r="H12" s="74">
        <v>-8.8914190000000008</v>
      </c>
      <c r="I12" s="74">
        <v>-9.6183049999999994</v>
      </c>
      <c r="J12" s="74">
        <v>0.39184999999999998</v>
      </c>
      <c r="K12" s="74">
        <v>-2.5635029999999999</v>
      </c>
      <c r="L12" s="75">
        <v>47.718519999999998</v>
      </c>
      <c r="M12" s="88">
        <v>1.056001</v>
      </c>
      <c r="N12" s="18">
        <v>7.9</v>
      </c>
      <c r="O12" s="152">
        <v>43.066400000000002</v>
      </c>
      <c r="P12" s="132">
        <v>729.5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1</v>
      </c>
      <c r="W12" s="69">
        <v>0</v>
      </c>
      <c r="X12" t="s">
        <v>18</v>
      </c>
      <c r="Z12">
        <f>0.35*AA7</f>
        <v>1.1864999999999999</v>
      </c>
    </row>
    <row r="13" spans="2:30" x14ac:dyDescent="0.25">
      <c r="B13" t="s">
        <v>152</v>
      </c>
      <c r="C13" s="66" t="s">
        <v>153</v>
      </c>
      <c r="D13" s="71">
        <v>716</v>
      </c>
      <c r="E13" s="67">
        <v>1115</v>
      </c>
      <c r="F13" s="77">
        <v>-40.63785</v>
      </c>
      <c r="G13" s="74">
        <v>126.7765</v>
      </c>
      <c r="H13" s="74">
        <v>-69.738910000000004</v>
      </c>
      <c r="I13" s="74">
        <v>17.931619999999999</v>
      </c>
      <c r="J13" s="74">
        <v>5.4094939999999996</v>
      </c>
      <c r="K13" s="75">
        <v>24.49192</v>
      </c>
      <c r="L13" s="75">
        <v>-15.672969999999999</v>
      </c>
      <c r="M13" s="88">
        <v>1.056001</v>
      </c>
      <c r="N13" s="18">
        <v>7.9</v>
      </c>
      <c r="O13" s="152">
        <v>43.066400000000002</v>
      </c>
      <c r="P13" s="132">
        <v>729.5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1</v>
      </c>
      <c r="W13" s="69">
        <v>0</v>
      </c>
      <c r="X13" t="s">
        <v>51</v>
      </c>
      <c r="Z13" s="53">
        <f>0.565</f>
        <v>0.56499999999999995</v>
      </c>
    </row>
    <row r="14" spans="2:30" x14ac:dyDescent="0.25">
      <c r="B14" t="s">
        <v>152</v>
      </c>
      <c r="C14" s="66" t="s">
        <v>8</v>
      </c>
      <c r="D14" s="127">
        <v>298</v>
      </c>
      <c r="E14" s="128">
        <v>2000</v>
      </c>
      <c r="F14">
        <v>91.457074999999989</v>
      </c>
      <c r="G14" s="130">
        <v>47.438000000000002</v>
      </c>
      <c r="H14">
        <v>4.2419074999999999</v>
      </c>
      <c r="I14">
        <v>-6.2359833333333357E-2</v>
      </c>
      <c r="J14">
        <v>-25.880902833333334</v>
      </c>
      <c r="K14">
        <v>314.39065999999997</v>
      </c>
      <c r="L14">
        <v>301.33381666666668</v>
      </c>
      <c r="M14" s="155">
        <v>385.61866666666668</v>
      </c>
      <c r="N14" s="143">
        <v>-1073.5999999999999</v>
      </c>
      <c r="O14" s="135">
        <v>88.7</v>
      </c>
      <c r="P14" s="120">
        <v>16.3</v>
      </c>
      <c r="Q14" s="113">
        <v>1</v>
      </c>
      <c r="R14" s="68">
        <v>3</v>
      </c>
      <c r="S14" s="68">
        <v>0</v>
      </c>
      <c r="T14" s="68">
        <v>0</v>
      </c>
      <c r="U14" s="68">
        <v>0</v>
      </c>
      <c r="V14" s="68">
        <v>1</v>
      </c>
      <c r="W14" s="69">
        <v>0</v>
      </c>
    </row>
    <row r="15" spans="2:30" x14ac:dyDescent="0.25">
      <c r="B15" t="s">
        <v>152</v>
      </c>
      <c r="C15" s="66" t="s">
        <v>49</v>
      </c>
      <c r="D15" s="71">
        <v>298</v>
      </c>
      <c r="E15" s="67">
        <v>3200</v>
      </c>
      <c r="F15" s="77">
        <v>49.954030000000003</v>
      </c>
      <c r="G15" s="74">
        <v>4.8879159999999997</v>
      </c>
      <c r="H15" s="74">
        <v>-0.35205599999999998</v>
      </c>
      <c r="I15" s="74">
        <v>4.6186999999999999E-2</v>
      </c>
      <c r="J15" s="74">
        <v>-0.82509699999999997</v>
      </c>
      <c r="K15" s="76">
        <v>-652.97180000000003</v>
      </c>
      <c r="L15" s="75">
        <v>92.560959999999994</v>
      </c>
      <c r="M15" s="78">
        <v>-635.08939999999996</v>
      </c>
      <c r="N15" s="17">
        <v>-635.09</v>
      </c>
      <c r="O15" s="136">
        <v>38.191689205589682</v>
      </c>
      <c r="P15" s="120">
        <v>127.3</v>
      </c>
      <c r="Q15" s="68">
        <v>0</v>
      </c>
      <c r="R15" s="68">
        <v>1</v>
      </c>
      <c r="S15" s="68">
        <v>0</v>
      </c>
      <c r="T15" s="68">
        <v>0</v>
      </c>
      <c r="U15" s="68">
        <v>0</v>
      </c>
      <c r="V15" s="68">
        <v>1</v>
      </c>
      <c r="W15" s="69">
        <v>0</v>
      </c>
      <c r="Z15" t="s">
        <v>129</v>
      </c>
    </row>
    <row r="16" spans="2:30" x14ac:dyDescent="0.25">
      <c r="C16" s="66" t="s">
        <v>13</v>
      </c>
      <c r="D16" s="71">
        <v>298</v>
      </c>
      <c r="E16" s="67">
        <v>1300</v>
      </c>
      <c r="F16" s="71">
        <v>-0.70302900000000002</v>
      </c>
      <c r="G16" s="72">
        <v>108.4773</v>
      </c>
      <c r="H16" s="72">
        <v>-42.521569999999997</v>
      </c>
      <c r="I16" s="72">
        <v>5.8627880000000001</v>
      </c>
      <c r="J16" s="72">
        <v>0.67856499999999997</v>
      </c>
      <c r="K16" s="72">
        <v>-76.843760000000003</v>
      </c>
      <c r="L16" s="72">
        <v>158.71629999999999</v>
      </c>
      <c r="M16" s="73">
        <v>-74.873099999999994</v>
      </c>
      <c r="N16" s="19">
        <v>-74.5</v>
      </c>
      <c r="O16" s="134">
        <v>186.25470110136666</v>
      </c>
      <c r="P16" s="120">
        <v>831.2</v>
      </c>
      <c r="Q16" s="68">
        <v>1</v>
      </c>
      <c r="R16" s="68">
        <v>0</v>
      </c>
      <c r="S16" s="68">
        <v>4</v>
      </c>
      <c r="T16" s="68">
        <v>0</v>
      </c>
      <c r="U16" s="68">
        <v>0</v>
      </c>
      <c r="V16" s="68">
        <v>0</v>
      </c>
      <c r="W16" s="69">
        <v>0</v>
      </c>
      <c r="Z16" t="s">
        <v>130</v>
      </c>
      <c r="AA16" s="32"/>
    </row>
    <row r="17" spans="2:44" x14ac:dyDescent="0.25">
      <c r="C17" s="66" t="s">
        <v>13</v>
      </c>
      <c r="D17" s="71">
        <v>1300</v>
      </c>
      <c r="E17" s="67">
        <v>6000</v>
      </c>
      <c r="F17" s="71">
        <v>85.812169999999995</v>
      </c>
      <c r="G17" s="72">
        <v>11.264670000000001</v>
      </c>
      <c r="H17" s="74">
        <v>-2.1141459999999999</v>
      </c>
      <c r="I17" s="74">
        <v>0.13819000000000001</v>
      </c>
      <c r="J17" s="75">
        <v>-26.42221</v>
      </c>
      <c r="K17" s="76">
        <v>-153.53270000000001</v>
      </c>
      <c r="L17" s="76">
        <v>224.4143</v>
      </c>
      <c r="M17" s="73">
        <v>-74.873099999999994</v>
      </c>
      <c r="N17" s="19">
        <v>-74.5</v>
      </c>
      <c r="O17" s="134">
        <v>186.25470110136666</v>
      </c>
      <c r="P17" s="120">
        <v>831.2</v>
      </c>
      <c r="Q17" s="68">
        <v>1</v>
      </c>
      <c r="R17" s="68">
        <v>0</v>
      </c>
      <c r="S17" s="68">
        <v>4</v>
      </c>
      <c r="T17" s="68">
        <v>0</v>
      </c>
      <c r="U17" s="68">
        <v>0</v>
      </c>
      <c r="V17" s="68">
        <v>0</v>
      </c>
      <c r="W17" s="69">
        <v>0</v>
      </c>
    </row>
    <row r="18" spans="2:44" x14ac:dyDescent="0.25">
      <c r="B18" s="155"/>
      <c r="C18" t="s">
        <v>175</v>
      </c>
      <c r="D18" s="156">
        <v>298</v>
      </c>
      <c r="E18">
        <v>1200</v>
      </c>
      <c r="F18" s="156">
        <f>(F6*10 +F36*11)/2</f>
        <v>224.01397900000001</v>
      </c>
      <c r="G18">
        <f t="shared" ref="G18:L18" si="0">(G6*10 +G36*11)/2</f>
        <v>-62.498793499999998</v>
      </c>
      <c r="H18">
        <f t="shared" si="0"/>
        <v>62.880488000000007</v>
      </c>
      <c r="I18">
        <f t="shared" si="0"/>
        <v>-15.250806999999998</v>
      </c>
      <c r="J18">
        <f t="shared" si="0"/>
        <v>-0.87206899999999998</v>
      </c>
      <c r="K18">
        <f t="shared" si="0"/>
        <v>-36.053333500000008</v>
      </c>
      <c r="L18">
        <f t="shared" si="0"/>
        <v>1190.0538569999999</v>
      </c>
      <c r="M18">
        <f>N18</f>
        <v>-249.7</v>
      </c>
      <c r="N18" s="169">
        <v>-249.7</v>
      </c>
      <c r="O18" s="169">
        <v>545.79999999999995</v>
      </c>
      <c r="P18" s="169">
        <v>6283.46</v>
      </c>
      <c r="Q18" s="156">
        <v>10</v>
      </c>
      <c r="R18">
        <v>0</v>
      </c>
      <c r="S18">
        <v>22</v>
      </c>
      <c r="T18">
        <v>0</v>
      </c>
      <c r="U18">
        <v>0</v>
      </c>
      <c r="V18">
        <v>0</v>
      </c>
      <c r="W18">
        <v>0</v>
      </c>
      <c r="X18" s="66" t="s">
        <v>14</v>
      </c>
      <c r="Y18" s="71">
        <v>298</v>
      </c>
      <c r="Z18" s="67">
        <v>1300</v>
      </c>
      <c r="AA18" s="77">
        <v>25.567589999999999</v>
      </c>
      <c r="AB18" s="75">
        <v>6.0961299999999996</v>
      </c>
      <c r="AC18" s="74">
        <v>4.0546559999999996</v>
      </c>
      <c r="AD18" s="74">
        <v>-2.6713010000000001</v>
      </c>
      <c r="AE18" s="74">
        <v>0.131021</v>
      </c>
      <c r="AF18" s="76">
        <v>-118.0089</v>
      </c>
      <c r="AG18" s="76">
        <v>227.3665</v>
      </c>
      <c r="AH18" s="78">
        <v>-110.5271</v>
      </c>
      <c r="AI18" s="17">
        <v>-110.53</v>
      </c>
      <c r="AJ18" s="61">
        <v>197.66288408714843</v>
      </c>
      <c r="AK18" s="122">
        <v>274.70999999999998</v>
      </c>
      <c r="AL18" s="68">
        <v>1</v>
      </c>
      <c r="AM18" s="68">
        <v>1</v>
      </c>
      <c r="AN18" s="68">
        <v>0</v>
      </c>
      <c r="AO18" s="68">
        <v>0</v>
      </c>
      <c r="AP18" s="68">
        <v>0</v>
      </c>
      <c r="AQ18" s="68">
        <v>0</v>
      </c>
      <c r="AR18" s="69">
        <v>0</v>
      </c>
    </row>
    <row r="19" spans="2:44" x14ac:dyDescent="0.25">
      <c r="B19" s="155"/>
      <c r="C19" s="149" t="s">
        <v>174</v>
      </c>
      <c r="D19" s="156">
        <v>298</v>
      </c>
      <c r="E19" s="155">
        <v>1200</v>
      </c>
      <c r="F19" s="14">
        <f>(F6*12 +F36*13)/2</f>
        <v>265.51015699999999</v>
      </c>
      <c r="G19" s="14">
        <f>(G6*12 +G36*13)/2</f>
        <v>-73.862210500000003</v>
      </c>
      <c r="H19" s="14">
        <f>(H6*12 +H36*13)/2</f>
        <v>74.313304000000002</v>
      </c>
      <c r="I19" s="14">
        <f>(I6*12 +I36*13)/2</f>
        <v>-18.023681</v>
      </c>
      <c r="J19" s="14">
        <f>(J6*12 +J36*13)/2</f>
        <v>-1.030627</v>
      </c>
      <c r="K19" s="14">
        <f>(K6*12 +K36*13)/2</f>
        <v>-42.2659205</v>
      </c>
      <c r="L19" s="14">
        <f>(L6*12 +L36*13)/2</f>
        <v>1410.793831</v>
      </c>
      <c r="M19" s="14">
        <v>-290.89999999999998</v>
      </c>
      <c r="N19" s="169">
        <v>-290.89999999999998</v>
      </c>
      <c r="O19" s="153">
        <v>622.5</v>
      </c>
      <c r="P19" s="170">
        <v>7511.335</v>
      </c>
      <c r="Q19" s="156">
        <v>12</v>
      </c>
      <c r="R19" s="14">
        <v>0</v>
      </c>
      <c r="S19" s="14">
        <v>26</v>
      </c>
      <c r="T19" s="14">
        <v>0</v>
      </c>
      <c r="U19" s="14">
        <v>0</v>
      </c>
      <c r="V19" s="14">
        <v>0</v>
      </c>
      <c r="W19" s="14">
        <v>0</v>
      </c>
      <c r="X19" s="156"/>
    </row>
    <row r="20" spans="2:44" x14ac:dyDescent="0.25">
      <c r="C20" s="66" t="s">
        <v>14</v>
      </c>
      <c r="D20" s="71">
        <v>1300</v>
      </c>
      <c r="E20" s="67">
        <v>6000</v>
      </c>
      <c r="F20" s="77">
        <v>35.150700000000001</v>
      </c>
      <c r="G20" s="72">
        <v>1.300095</v>
      </c>
      <c r="H20" s="74">
        <v>-0.20592099999999999</v>
      </c>
      <c r="I20" s="74">
        <v>1.355E-2</v>
      </c>
      <c r="J20" s="74">
        <v>-3.2827799999999998</v>
      </c>
      <c r="K20" s="76">
        <v>-127.83750000000001</v>
      </c>
      <c r="L20" s="76">
        <v>231.71199999999999</v>
      </c>
      <c r="M20" s="78">
        <v>-110.5271</v>
      </c>
      <c r="N20" s="17">
        <v>-110.53</v>
      </c>
      <c r="O20" s="136">
        <v>197.66288408714843</v>
      </c>
      <c r="P20" s="122">
        <v>274.70999999999998</v>
      </c>
      <c r="Q20" s="68">
        <v>1</v>
      </c>
      <c r="R20" s="68">
        <v>1</v>
      </c>
      <c r="S20" s="68">
        <v>0</v>
      </c>
      <c r="T20" s="68">
        <v>0</v>
      </c>
      <c r="U20" s="68">
        <v>0</v>
      </c>
      <c r="V20" s="68">
        <v>0</v>
      </c>
      <c r="W20" s="69">
        <v>0</v>
      </c>
    </row>
    <row r="21" spans="2:44" x14ac:dyDescent="0.25">
      <c r="C21" s="66" t="s">
        <v>16</v>
      </c>
      <c r="D21" s="71">
        <v>298</v>
      </c>
      <c r="E21" s="67">
        <v>1200</v>
      </c>
      <c r="F21" s="77">
        <v>24.997350000000001</v>
      </c>
      <c r="G21" s="75">
        <v>55.186959999999999</v>
      </c>
      <c r="H21" s="75">
        <v>-33.691369999999999</v>
      </c>
      <c r="I21" s="74">
        <v>7.9483870000000003</v>
      </c>
      <c r="J21" s="74">
        <v>-0.13663800000000001</v>
      </c>
      <c r="K21" s="76">
        <v>-403.60750000000002</v>
      </c>
      <c r="L21" s="76">
        <v>228.2431</v>
      </c>
      <c r="M21" s="78">
        <v>-393.5224</v>
      </c>
      <c r="N21" s="17">
        <v>-393.52</v>
      </c>
      <c r="O21" s="136">
        <v>213.78763413722717</v>
      </c>
      <c r="P21" s="120">
        <v>19.48</v>
      </c>
      <c r="Q21" s="68">
        <v>1</v>
      </c>
      <c r="R21" s="68">
        <v>2</v>
      </c>
      <c r="S21" s="68">
        <v>0</v>
      </c>
      <c r="T21" s="68">
        <v>0</v>
      </c>
      <c r="U21" s="68">
        <v>0</v>
      </c>
      <c r="V21" s="68">
        <v>0</v>
      </c>
      <c r="W21" s="69">
        <v>0</v>
      </c>
    </row>
    <row r="22" spans="2:44" x14ac:dyDescent="0.25">
      <c r="B22" t="s">
        <v>150</v>
      </c>
      <c r="C22" s="66" t="s">
        <v>16</v>
      </c>
      <c r="D22" s="71">
        <v>1200</v>
      </c>
      <c r="E22" s="67">
        <v>6000</v>
      </c>
      <c r="F22" s="79">
        <v>58.16639</v>
      </c>
      <c r="G22" s="72">
        <v>2.7200739999999999</v>
      </c>
      <c r="H22" s="74">
        <v>-0.49228899999999998</v>
      </c>
      <c r="I22" s="80">
        <v>3.8843999999999997E-2</v>
      </c>
      <c r="J22" s="80">
        <v>-6.4472930000000002</v>
      </c>
      <c r="K22" s="81">
        <v>-425.91860000000003</v>
      </c>
      <c r="L22" s="81">
        <v>263.61250000000001</v>
      </c>
      <c r="M22" s="82">
        <v>-393.5224</v>
      </c>
      <c r="N22" s="17">
        <v>-393.52</v>
      </c>
      <c r="O22" s="136">
        <v>213.78763413722717</v>
      </c>
      <c r="P22" s="120">
        <v>19.48</v>
      </c>
      <c r="Q22" s="68">
        <v>1</v>
      </c>
      <c r="R22" s="68">
        <v>2</v>
      </c>
      <c r="S22" s="68">
        <v>0</v>
      </c>
      <c r="T22" s="68">
        <v>0</v>
      </c>
      <c r="U22" s="68">
        <v>0</v>
      </c>
      <c r="V22" s="68">
        <v>0</v>
      </c>
      <c r="W22" s="69">
        <v>0</v>
      </c>
    </row>
    <row r="23" spans="2:44" x14ac:dyDescent="0.25">
      <c r="B23" t="s">
        <v>152</v>
      </c>
      <c r="C23" s="66" t="s">
        <v>50</v>
      </c>
      <c r="D23" s="71">
        <v>1809</v>
      </c>
      <c r="E23" s="67">
        <v>3133</v>
      </c>
      <c r="F23" s="77">
        <v>46.024000000000001</v>
      </c>
      <c r="G23" s="72">
        <f>-1.884667*10^-8</f>
        <v>-1.8846670000000001E-8</v>
      </c>
      <c r="H23" s="72">
        <f>6.09475*10^-9</f>
        <v>6.0947500000000007E-9</v>
      </c>
      <c r="I23" s="72">
        <f>-6.640301*10^-10</f>
        <v>-6.6403010000000006E-10</v>
      </c>
      <c r="J23" s="72">
        <f>-8.246121*10^-9</f>
        <v>-8.2461210000000004E-9</v>
      </c>
      <c r="K23" s="72">
        <v>-10.805429999999999</v>
      </c>
      <c r="L23" s="72">
        <v>72.540940000000006</v>
      </c>
      <c r="M23" s="96">
        <v>12.395020000000001</v>
      </c>
      <c r="N23" s="144">
        <v>12.4</v>
      </c>
      <c r="O23" s="136">
        <v>34.76</v>
      </c>
      <c r="P23" s="121">
        <v>0</v>
      </c>
      <c r="Q23" s="113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9">
        <v>1</v>
      </c>
    </row>
    <row r="24" spans="2:44" x14ac:dyDescent="0.25">
      <c r="B24" t="s">
        <v>152</v>
      </c>
      <c r="C24" s="66" t="s">
        <v>154</v>
      </c>
      <c r="D24" s="71">
        <v>298</v>
      </c>
      <c r="E24" s="67">
        <v>700</v>
      </c>
      <c r="F24" s="79">
        <v>18.42868</v>
      </c>
      <c r="G24" s="72">
        <v>24.64301</v>
      </c>
      <c r="H24" s="80">
        <v>-8.9137199999999996</v>
      </c>
      <c r="I24" s="80">
        <v>9.6647060000000007</v>
      </c>
      <c r="J24" s="80">
        <v>-1.2643E-2</v>
      </c>
      <c r="K24" s="80">
        <v>-6.5730219999999999</v>
      </c>
      <c r="L24" s="86">
        <v>42.514879999999998</v>
      </c>
      <c r="M24" s="87">
        <v>0</v>
      </c>
      <c r="N24" s="144">
        <v>12.4</v>
      </c>
      <c r="O24" s="136">
        <v>27.32</v>
      </c>
      <c r="P24" s="120">
        <v>374.3</v>
      </c>
      <c r="Q24" s="113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9">
        <v>1</v>
      </c>
    </row>
    <row r="25" spans="2:44" x14ac:dyDescent="0.25">
      <c r="B25" t="s">
        <v>152</v>
      </c>
      <c r="C25" s="66" t="s">
        <v>154</v>
      </c>
      <c r="D25" s="71">
        <v>700</v>
      </c>
      <c r="E25" s="67">
        <v>1042</v>
      </c>
      <c r="F25" s="97">
        <v>-57767.65</v>
      </c>
      <c r="G25" s="72">
        <v>137919.70000000001</v>
      </c>
      <c r="H25" s="98">
        <v>-122773.2</v>
      </c>
      <c r="I25" s="94">
        <v>38682.42</v>
      </c>
      <c r="J25" s="53">
        <v>3993.08</v>
      </c>
      <c r="K25" s="72">
        <v>24078.67</v>
      </c>
      <c r="L25" s="94">
        <v>-87364.01</v>
      </c>
      <c r="M25" s="87">
        <v>0</v>
      </c>
      <c r="N25" s="144">
        <v>12.4</v>
      </c>
      <c r="O25" s="136">
        <v>27.32</v>
      </c>
      <c r="P25" s="120">
        <v>374.3</v>
      </c>
      <c r="Q25" s="113">
        <v>0</v>
      </c>
      <c r="R25" s="68">
        <v>0</v>
      </c>
      <c r="S25" s="68">
        <v>0</v>
      </c>
      <c r="T25" s="68">
        <v>0</v>
      </c>
      <c r="U25" s="68">
        <v>0</v>
      </c>
      <c r="V25" s="68">
        <v>0</v>
      </c>
      <c r="W25" s="69">
        <v>1</v>
      </c>
    </row>
    <row r="26" spans="2:44" x14ac:dyDescent="0.25">
      <c r="B26" t="s">
        <v>152</v>
      </c>
      <c r="C26" s="66" t="s">
        <v>154</v>
      </c>
      <c r="D26" s="71">
        <v>1042</v>
      </c>
      <c r="E26" s="67">
        <v>1100</v>
      </c>
      <c r="F26" s="99">
        <v>-325.88589999999999</v>
      </c>
      <c r="G26" s="72">
        <v>28.92876</v>
      </c>
      <c r="H26" s="80">
        <v>0</v>
      </c>
      <c r="I26" s="80">
        <v>0</v>
      </c>
      <c r="J26" s="72">
        <v>411.96289999999999</v>
      </c>
      <c r="K26" s="72">
        <v>745.82309999999995</v>
      </c>
      <c r="L26" s="72">
        <v>241.8766</v>
      </c>
      <c r="M26" s="87">
        <v>0</v>
      </c>
      <c r="N26" s="144">
        <v>12.4</v>
      </c>
      <c r="O26" s="136">
        <v>27.32</v>
      </c>
      <c r="P26" s="120">
        <v>374.3</v>
      </c>
      <c r="Q26" s="113">
        <v>0</v>
      </c>
      <c r="R26" s="68">
        <v>0</v>
      </c>
      <c r="S26" s="68">
        <v>0</v>
      </c>
      <c r="T26" s="68">
        <v>0</v>
      </c>
      <c r="U26" s="68">
        <v>0</v>
      </c>
      <c r="V26" s="68">
        <v>0</v>
      </c>
      <c r="W26" s="69">
        <v>1</v>
      </c>
    </row>
    <row r="27" spans="2:44" x14ac:dyDescent="0.25">
      <c r="B27" t="s">
        <v>152</v>
      </c>
      <c r="C27" s="66" t="s">
        <v>154</v>
      </c>
      <c r="D27" s="71">
        <v>1100</v>
      </c>
      <c r="E27" s="67">
        <v>1809</v>
      </c>
      <c r="F27" s="99">
        <v>-776.73869999999999</v>
      </c>
      <c r="G27" s="72">
        <v>919.40049999999997</v>
      </c>
      <c r="H27" s="81">
        <v>-383.71839999999997</v>
      </c>
      <c r="I27" s="86">
        <v>57.081479999999999</v>
      </c>
      <c r="J27" s="72">
        <v>242.1369</v>
      </c>
      <c r="K27" s="72">
        <v>697.62339999999995</v>
      </c>
      <c r="L27" s="72">
        <v>-558.36739999999998</v>
      </c>
      <c r="M27" s="87">
        <v>0</v>
      </c>
      <c r="N27" s="144">
        <v>12.4</v>
      </c>
      <c r="O27" s="136">
        <v>27.32</v>
      </c>
      <c r="P27" s="120">
        <v>374.3</v>
      </c>
      <c r="Q27" s="113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9">
        <v>1</v>
      </c>
    </row>
    <row r="28" spans="2:44" x14ac:dyDescent="0.25">
      <c r="B28" t="s">
        <v>152</v>
      </c>
      <c r="C28" s="66" t="s">
        <v>155</v>
      </c>
      <c r="D28" s="71">
        <v>298</v>
      </c>
      <c r="E28" s="67">
        <v>1809</v>
      </c>
      <c r="F28" s="71">
        <v>23.974489999999999</v>
      </c>
      <c r="G28" s="72">
        <v>8.3677499999999991</v>
      </c>
      <c r="H28" s="80">
        <v>2.7700000000000001E-4</v>
      </c>
      <c r="I28" s="80">
        <v>-8.6000000000000003E-5</v>
      </c>
      <c r="J28" s="72">
        <v>-5.0000000000000004E-6</v>
      </c>
      <c r="K28" s="72">
        <v>0.26802700000000002</v>
      </c>
      <c r="L28" s="72">
        <v>62.063360000000003</v>
      </c>
      <c r="M28" s="95">
        <v>7.7880149999999997</v>
      </c>
      <c r="N28" s="144">
        <v>12.4</v>
      </c>
      <c r="O28" s="136">
        <v>35.54</v>
      </c>
      <c r="P28" s="121">
        <v>0</v>
      </c>
      <c r="Q28" s="113">
        <v>0</v>
      </c>
      <c r="R28" s="68">
        <v>0</v>
      </c>
      <c r="S28" s="68">
        <v>0</v>
      </c>
      <c r="T28" s="68">
        <v>0</v>
      </c>
      <c r="U28" s="68">
        <v>0</v>
      </c>
      <c r="V28" s="68">
        <v>0</v>
      </c>
      <c r="W28" s="69">
        <v>1</v>
      </c>
    </row>
    <row r="29" spans="2:44" x14ac:dyDescent="0.25">
      <c r="B29" t="s">
        <v>152</v>
      </c>
      <c r="C29" s="66" t="s">
        <v>51</v>
      </c>
      <c r="D29" s="71">
        <v>298</v>
      </c>
      <c r="E29" s="67">
        <v>950</v>
      </c>
      <c r="F29" s="99">
        <v>93.438339999999997</v>
      </c>
      <c r="G29" s="72">
        <v>108.35769999999999</v>
      </c>
      <c r="H29" s="80">
        <v>-50.864469999999997</v>
      </c>
      <c r="I29" s="80">
        <v>25.586829999999999</v>
      </c>
      <c r="J29" s="80">
        <v>-1.6113299999999999</v>
      </c>
      <c r="K29" s="81">
        <v>-863.20939999999996</v>
      </c>
      <c r="L29" s="81">
        <v>161.0719</v>
      </c>
      <c r="M29" s="82">
        <v>-825.50319999999999</v>
      </c>
      <c r="N29" s="145">
        <v>-825.5</v>
      </c>
      <c r="O29" s="136">
        <v>87.332099999999997</v>
      </c>
      <c r="P29" s="120">
        <v>12.4</v>
      </c>
      <c r="Q29" s="113">
        <v>0</v>
      </c>
      <c r="R29" s="68">
        <v>3</v>
      </c>
      <c r="S29" s="68">
        <v>0</v>
      </c>
      <c r="T29" s="68">
        <v>0</v>
      </c>
      <c r="U29" s="68">
        <v>0</v>
      </c>
      <c r="V29" s="68">
        <v>0</v>
      </c>
      <c r="W29" s="69">
        <v>2</v>
      </c>
    </row>
    <row r="30" spans="2:44" x14ac:dyDescent="0.25">
      <c r="B30" t="s">
        <v>152</v>
      </c>
      <c r="C30" s="66" t="s">
        <v>51</v>
      </c>
      <c r="D30" s="71">
        <v>950</v>
      </c>
      <c r="E30" s="67">
        <v>1050</v>
      </c>
      <c r="F30" s="99">
        <v>150.624</v>
      </c>
      <c r="G30" s="93">
        <v>0</v>
      </c>
      <c r="H30" s="72">
        <v>0</v>
      </c>
      <c r="I30" s="100">
        <v>0</v>
      </c>
      <c r="J30" s="100">
        <v>0</v>
      </c>
      <c r="K30" s="81">
        <v>-875.60659999999996</v>
      </c>
      <c r="L30" s="100">
        <v>252.88140000000001</v>
      </c>
      <c r="M30" s="82">
        <v>-825.50319999999999</v>
      </c>
      <c r="N30" s="145">
        <v>-825.5</v>
      </c>
      <c r="O30" s="136">
        <v>87.332099999999997</v>
      </c>
      <c r="P30" s="120">
        <v>12.4</v>
      </c>
      <c r="Q30" s="113">
        <v>0</v>
      </c>
      <c r="R30" s="68">
        <v>3</v>
      </c>
      <c r="S30" s="68">
        <v>0</v>
      </c>
      <c r="T30" s="68">
        <v>0</v>
      </c>
      <c r="U30" s="68">
        <v>0</v>
      </c>
      <c r="V30" s="68">
        <v>0</v>
      </c>
      <c r="W30" s="69">
        <v>2</v>
      </c>
    </row>
    <row r="31" spans="2:44" x14ac:dyDescent="0.25">
      <c r="B31" t="s">
        <v>152</v>
      </c>
      <c r="C31" s="66" t="s">
        <v>51</v>
      </c>
      <c r="D31" s="71">
        <v>1050</v>
      </c>
      <c r="E31" s="67">
        <v>2500</v>
      </c>
      <c r="F31" s="99">
        <v>110.9362</v>
      </c>
      <c r="G31" s="72">
        <v>32.047139999999999</v>
      </c>
      <c r="H31" s="80">
        <v>-9.1923329999999996</v>
      </c>
      <c r="I31" s="80">
        <v>0.90150600000000003</v>
      </c>
      <c r="J31" s="80">
        <v>5.4336770000000003</v>
      </c>
      <c r="K31" s="81">
        <v>-843.14710000000002</v>
      </c>
      <c r="L31" s="81">
        <v>228.35480000000001</v>
      </c>
      <c r="M31" s="82">
        <v>-825.50319999999999</v>
      </c>
      <c r="N31" s="145">
        <v>-825.5</v>
      </c>
      <c r="O31" s="136">
        <v>87.332099999999997</v>
      </c>
      <c r="P31" s="120">
        <v>12.4</v>
      </c>
      <c r="Q31" s="113">
        <v>0</v>
      </c>
      <c r="R31" s="68">
        <v>3</v>
      </c>
      <c r="S31" s="68">
        <v>0</v>
      </c>
      <c r="T31" s="68">
        <v>0</v>
      </c>
      <c r="U31" s="68">
        <v>0</v>
      </c>
      <c r="V31" s="68">
        <v>0</v>
      </c>
      <c r="W31" s="69">
        <v>2</v>
      </c>
    </row>
    <row r="32" spans="2:44" ht="16.350000000000001" customHeight="1" x14ac:dyDescent="0.25">
      <c r="B32" t="s">
        <v>152</v>
      </c>
      <c r="C32" s="66" t="s">
        <v>156</v>
      </c>
      <c r="D32" s="71">
        <v>298</v>
      </c>
      <c r="E32" s="67">
        <v>900</v>
      </c>
      <c r="F32">
        <v>104.20959999999999</v>
      </c>
      <c r="G32">
        <v>178.51079999999999</v>
      </c>
      <c r="H32">
        <v>10.6151</v>
      </c>
      <c r="I32">
        <v>1.1325339999999999</v>
      </c>
      <c r="J32">
        <v>-0.99420200000000003</v>
      </c>
      <c r="K32">
        <v>-1163.336</v>
      </c>
      <c r="L32">
        <v>212.05850000000001</v>
      </c>
      <c r="M32">
        <v>-1120.894</v>
      </c>
      <c r="N32" s="145">
        <v>-1120.8900000000001</v>
      </c>
      <c r="O32" s="136">
        <v>145.24529999999999</v>
      </c>
      <c r="P32" s="120">
        <v>116.3</v>
      </c>
      <c r="Q32" s="113">
        <v>0</v>
      </c>
      <c r="R32" s="68">
        <v>4</v>
      </c>
      <c r="S32" s="68">
        <v>0</v>
      </c>
      <c r="T32" s="68">
        <v>0</v>
      </c>
      <c r="U32" s="68">
        <v>0</v>
      </c>
      <c r="V32" s="68">
        <v>0</v>
      </c>
      <c r="W32" s="69">
        <v>3</v>
      </c>
    </row>
    <row r="33" spans="2:23" x14ac:dyDescent="0.25">
      <c r="B33" t="s">
        <v>152</v>
      </c>
      <c r="C33" s="66" t="s">
        <v>156</v>
      </c>
      <c r="D33" s="71">
        <v>900</v>
      </c>
      <c r="E33" s="67">
        <v>3000</v>
      </c>
      <c r="F33">
        <v>200.83199999999999</v>
      </c>
      <c r="G33">
        <f>1.586435*10^-7</f>
        <v>1.5864349999999999E-7</v>
      </c>
      <c r="H33">
        <f>-6.661682*10^-8</f>
        <v>-6.6616820000000002E-8</v>
      </c>
      <c r="I33">
        <f>9.452452*10^-9</f>
        <v>9.4524519999999994E-9</v>
      </c>
      <c r="J33" s="100">
        <f>3.18602*10^-8</f>
        <v>3.18602E-8</v>
      </c>
      <c r="K33">
        <v>-1174.135</v>
      </c>
      <c r="L33">
        <v>388.07900000000001</v>
      </c>
      <c r="M33" s="151">
        <v>-1090.894</v>
      </c>
      <c r="N33" s="145">
        <v>-1120.8900000000001</v>
      </c>
      <c r="O33" s="136">
        <v>145.24529999999999</v>
      </c>
      <c r="P33" s="120">
        <v>116.3</v>
      </c>
      <c r="Q33" s="113">
        <v>0</v>
      </c>
      <c r="R33" s="68">
        <v>4</v>
      </c>
      <c r="S33" s="68">
        <v>0</v>
      </c>
      <c r="T33" s="68">
        <v>0</v>
      </c>
      <c r="U33" s="68">
        <v>0</v>
      </c>
      <c r="V33" s="68">
        <v>0</v>
      </c>
      <c r="W33" s="69">
        <v>3</v>
      </c>
    </row>
    <row r="34" spans="2:23" x14ac:dyDescent="0.25">
      <c r="B34" t="s">
        <v>150</v>
      </c>
      <c r="C34" s="66" t="s">
        <v>157</v>
      </c>
      <c r="D34" s="71">
        <v>298</v>
      </c>
      <c r="E34" s="67">
        <v>1650</v>
      </c>
      <c r="F34" s="99">
        <v>45.751199999999997</v>
      </c>
      <c r="G34" s="86">
        <v>18.785530000000001</v>
      </c>
      <c r="H34" s="80">
        <v>-5.9522009999999996</v>
      </c>
      <c r="I34" s="80">
        <v>0.85277899999999995</v>
      </c>
      <c r="J34" s="80">
        <v>-8.1265000000000004E-2</v>
      </c>
      <c r="K34" s="81">
        <v>-286.74290000000002</v>
      </c>
      <c r="L34" s="53">
        <v>110.312</v>
      </c>
      <c r="M34" s="82">
        <v>-272.04410000000001</v>
      </c>
      <c r="N34" s="145">
        <v>-272.04000000000002</v>
      </c>
      <c r="O34" s="136">
        <v>60.75</v>
      </c>
      <c r="P34" s="120">
        <v>124.9</v>
      </c>
      <c r="Q34" s="113">
        <v>0</v>
      </c>
      <c r="R34" s="68">
        <v>1</v>
      </c>
      <c r="S34" s="68">
        <v>0</v>
      </c>
      <c r="T34" s="68">
        <v>0</v>
      </c>
      <c r="U34" s="68">
        <v>0</v>
      </c>
      <c r="V34" s="68">
        <v>0</v>
      </c>
      <c r="W34" s="69">
        <v>1</v>
      </c>
    </row>
    <row r="35" spans="2:23" x14ac:dyDescent="0.25">
      <c r="C35" s="66" t="s">
        <v>157</v>
      </c>
      <c r="D35" s="71">
        <v>1650</v>
      </c>
      <c r="E35" s="67">
        <v>5000</v>
      </c>
      <c r="F35">
        <v>68.199200000000005</v>
      </c>
      <c r="G35">
        <v>-4.5012320000000003E-10</v>
      </c>
      <c r="H35">
        <v>1.195227E-10</v>
      </c>
      <c r="I35">
        <v>-1.064302E-11</v>
      </c>
      <c r="J35">
        <v>-3.0926800000000004E-10</v>
      </c>
      <c r="K35">
        <v>-281.43259999999998</v>
      </c>
      <c r="L35" s="81">
        <v>137.83770000000001</v>
      </c>
      <c r="M35" s="150">
        <v>-220.53210000000001</v>
      </c>
      <c r="N35" s="145">
        <v>-249.5231</v>
      </c>
      <c r="O35" s="136">
        <v>75.400000000000006</v>
      </c>
      <c r="P35" s="121">
        <v>0</v>
      </c>
      <c r="Q35" s="113">
        <v>0</v>
      </c>
      <c r="R35" s="68">
        <v>1</v>
      </c>
      <c r="S35" s="68">
        <v>0</v>
      </c>
      <c r="T35" s="68">
        <v>0</v>
      </c>
      <c r="U35" s="68">
        <v>0</v>
      </c>
      <c r="V35" s="68">
        <v>0</v>
      </c>
      <c r="W35" s="69">
        <v>1</v>
      </c>
    </row>
    <row r="36" spans="2:23" x14ac:dyDescent="0.25">
      <c r="C36" s="66" t="s">
        <v>18</v>
      </c>
      <c r="D36" s="71">
        <v>298</v>
      </c>
      <c r="E36" s="67">
        <v>1000</v>
      </c>
      <c r="F36" s="83">
        <v>33.066178000000001</v>
      </c>
      <c r="G36" s="74">
        <v>-11.363417</v>
      </c>
      <c r="H36" s="74">
        <v>11.432816000000001</v>
      </c>
      <c r="I36" s="74">
        <v>-2.7728739999999998</v>
      </c>
      <c r="J36" s="74">
        <v>-0.158558</v>
      </c>
      <c r="K36" s="74">
        <v>-9.9807970000000008</v>
      </c>
      <c r="L36" s="74">
        <v>172.70797400000001</v>
      </c>
      <c r="M36" s="84">
        <v>0</v>
      </c>
      <c r="N36" s="146">
        <v>0</v>
      </c>
      <c r="O36" s="136">
        <v>130.68015006646857</v>
      </c>
      <c r="P36" s="120">
        <v>236.1</v>
      </c>
      <c r="Q36" s="68">
        <v>0</v>
      </c>
      <c r="R36" s="68">
        <v>0</v>
      </c>
      <c r="S36" s="68">
        <v>2</v>
      </c>
      <c r="T36" s="68">
        <v>0</v>
      </c>
      <c r="U36" s="68">
        <v>0</v>
      </c>
      <c r="V36" s="68">
        <v>0</v>
      </c>
      <c r="W36" s="69">
        <v>0</v>
      </c>
    </row>
    <row r="37" spans="2:23" x14ac:dyDescent="0.25">
      <c r="C37" s="66" t="s">
        <v>18</v>
      </c>
      <c r="D37" s="71">
        <v>1000</v>
      </c>
      <c r="E37" s="67">
        <v>2500</v>
      </c>
      <c r="F37" s="83">
        <v>18.563082999999999</v>
      </c>
      <c r="G37" s="74">
        <v>12.257357000000001</v>
      </c>
      <c r="H37" s="74">
        <v>-2.8597860000000002</v>
      </c>
      <c r="I37" s="74">
        <v>0.26823799999999998</v>
      </c>
      <c r="J37" s="74">
        <v>1.9779899999999999</v>
      </c>
      <c r="K37" s="74">
        <v>-1.147438</v>
      </c>
      <c r="L37" s="74">
        <v>156.28813299999999</v>
      </c>
      <c r="M37" s="84">
        <v>0</v>
      </c>
      <c r="N37" s="146">
        <v>0</v>
      </c>
      <c r="O37" s="136">
        <v>130.68015006646857</v>
      </c>
      <c r="P37" s="120">
        <v>236.1</v>
      </c>
      <c r="Q37" s="68">
        <v>0</v>
      </c>
      <c r="R37" s="68">
        <v>0</v>
      </c>
      <c r="S37" s="68">
        <v>2</v>
      </c>
      <c r="T37" s="68">
        <v>0</v>
      </c>
      <c r="U37" s="68">
        <v>0</v>
      </c>
      <c r="V37" s="68">
        <v>0</v>
      </c>
      <c r="W37" s="69">
        <v>0</v>
      </c>
    </row>
    <row r="38" spans="2:23" x14ac:dyDescent="0.25">
      <c r="B38" t="s">
        <v>150</v>
      </c>
      <c r="C38" s="66" t="s">
        <v>18</v>
      </c>
      <c r="D38" s="71">
        <v>2500</v>
      </c>
      <c r="E38" s="67">
        <v>6000</v>
      </c>
      <c r="F38" s="85">
        <v>43.413559999999997</v>
      </c>
      <c r="G38" s="72">
        <v>-4.2930789999999996</v>
      </c>
      <c r="H38" s="80">
        <v>1.2724279999999999</v>
      </c>
      <c r="I38" s="80">
        <v>-9.6876000000000004E-2</v>
      </c>
      <c r="J38" s="80">
        <v>-20.533861999999999</v>
      </c>
      <c r="K38" s="80">
        <v>-38.515158</v>
      </c>
      <c r="L38" s="86">
        <v>162.081354</v>
      </c>
      <c r="M38" s="87">
        <v>0</v>
      </c>
      <c r="N38" s="146">
        <v>0</v>
      </c>
      <c r="O38" s="136">
        <v>130.68015006646857</v>
      </c>
      <c r="P38" s="120">
        <v>236.1</v>
      </c>
      <c r="Q38" s="68">
        <v>0</v>
      </c>
      <c r="R38" s="68">
        <v>0</v>
      </c>
      <c r="S38" s="68">
        <v>2</v>
      </c>
      <c r="T38" s="68">
        <v>0</v>
      </c>
      <c r="U38" s="68">
        <v>0</v>
      </c>
      <c r="V38" s="68">
        <v>0</v>
      </c>
      <c r="W38" s="69">
        <v>0</v>
      </c>
    </row>
    <row r="39" spans="2:23" x14ac:dyDescent="0.25">
      <c r="B39" t="s">
        <v>149</v>
      </c>
      <c r="C39" s="66" t="s">
        <v>158</v>
      </c>
      <c r="D39" s="71">
        <v>298</v>
      </c>
      <c r="E39" s="67">
        <v>500</v>
      </c>
      <c r="F39" s="56">
        <v>-203.60599999999999</v>
      </c>
      <c r="G39" s="49">
        <v>1523.29</v>
      </c>
      <c r="H39" s="50">
        <v>-3196.413</v>
      </c>
      <c r="I39" s="49">
        <v>2474.4549999999999</v>
      </c>
      <c r="J39" s="50">
        <v>3.8553259999999998</v>
      </c>
      <c r="K39" s="48">
        <v>-256.5478</v>
      </c>
      <c r="L39" s="50">
        <v>-488.71629999999999</v>
      </c>
      <c r="M39" s="57">
        <v>-285.8304</v>
      </c>
      <c r="N39" s="15">
        <v>-285.83</v>
      </c>
      <c r="O39" s="157">
        <v>69.953643240262238</v>
      </c>
      <c r="P39" s="120">
        <v>0.9</v>
      </c>
      <c r="Q39" s="68">
        <v>0</v>
      </c>
      <c r="R39" s="68">
        <v>1</v>
      </c>
      <c r="S39" s="68">
        <v>2</v>
      </c>
      <c r="T39" s="68">
        <v>0</v>
      </c>
      <c r="U39" s="68">
        <v>0</v>
      </c>
      <c r="V39" s="68">
        <v>0</v>
      </c>
      <c r="W39" s="69">
        <v>0</v>
      </c>
    </row>
    <row r="40" spans="2:23" x14ac:dyDescent="0.25">
      <c r="B40" t="s">
        <v>149</v>
      </c>
      <c r="C40" s="66" t="s">
        <v>158</v>
      </c>
      <c r="D40" s="71">
        <v>500</v>
      </c>
      <c r="E40" s="67">
        <v>1700</v>
      </c>
      <c r="F40" s="58">
        <v>30.091999999999999</v>
      </c>
      <c r="G40" s="50">
        <v>6.8325139999999998</v>
      </c>
      <c r="H40" s="50">
        <v>6.7934349999999997</v>
      </c>
      <c r="I40" s="51">
        <v>-2.5344799999999998</v>
      </c>
      <c r="J40" s="50">
        <v>8.2139000000000004E-2</v>
      </c>
      <c r="K40" s="48">
        <v>-250.881</v>
      </c>
      <c r="L40" s="50">
        <v>223.39670000000001</v>
      </c>
      <c r="M40" s="57">
        <v>-241.82640000000001</v>
      </c>
      <c r="N40" s="15">
        <v>-241.83</v>
      </c>
      <c r="O40" s="134">
        <v>188.83500000000001</v>
      </c>
      <c r="P40" s="120">
        <v>9.5</v>
      </c>
      <c r="Q40" s="68">
        <v>0</v>
      </c>
      <c r="R40" s="68">
        <v>1</v>
      </c>
      <c r="S40" s="68">
        <v>2</v>
      </c>
      <c r="T40" s="68">
        <v>0</v>
      </c>
      <c r="U40" s="68">
        <v>0</v>
      </c>
      <c r="V40" s="68">
        <v>0</v>
      </c>
      <c r="W40" s="69">
        <v>0</v>
      </c>
    </row>
    <row r="41" spans="2:23" x14ac:dyDescent="0.25">
      <c r="C41" s="66" t="s">
        <v>158</v>
      </c>
      <c r="D41" s="71">
        <v>1700</v>
      </c>
      <c r="E41" s="67">
        <v>6000</v>
      </c>
      <c r="F41" s="70">
        <v>41.964260000000003</v>
      </c>
      <c r="G41" s="50">
        <v>8.6220529999999993</v>
      </c>
      <c r="H41" s="50">
        <v>-1.4997799999999999</v>
      </c>
      <c r="I41" s="50">
        <v>9.8118999999999998E-2</v>
      </c>
      <c r="J41" s="50">
        <v>-11.157640000000001</v>
      </c>
      <c r="K41" s="48">
        <v>-272.17970000000003</v>
      </c>
      <c r="L41" s="48">
        <v>219.7809</v>
      </c>
      <c r="M41" s="57">
        <v>-241.82640000000001</v>
      </c>
      <c r="N41" s="15">
        <v>-241.83</v>
      </c>
      <c r="O41" s="134">
        <v>188.83500000000001</v>
      </c>
      <c r="P41" s="122">
        <v>9.5</v>
      </c>
      <c r="Q41" s="68">
        <v>0</v>
      </c>
      <c r="R41" s="68">
        <v>1</v>
      </c>
      <c r="S41" s="68">
        <v>2</v>
      </c>
      <c r="T41" s="68">
        <v>0</v>
      </c>
      <c r="U41" s="68">
        <v>0</v>
      </c>
      <c r="V41" s="68">
        <v>0</v>
      </c>
      <c r="W41" s="69">
        <v>0</v>
      </c>
    </row>
    <row r="42" spans="2:23" x14ac:dyDescent="0.25">
      <c r="C42" s="66" t="s">
        <v>28</v>
      </c>
      <c r="D42" s="71">
        <v>298</v>
      </c>
      <c r="E42" s="67">
        <v>1400</v>
      </c>
      <c r="F42" s="77">
        <v>26.884119999999999</v>
      </c>
      <c r="G42" s="75">
        <v>18.678090000000001</v>
      </c>
      <c r="H42" s="74">
        <v>3.4342030000000001</v>
      </c>
      <c r="I42" s="74">
        <v>-3.3787020000000001</v>
      </c>
      <c r="J42" s="74">
        <v>0.135882</v>
      </c>
      <c r="K42" s="75">
        <v>-28.912109999999998</v>
      </c>
      <c r="L42" s="76">
        <v>233.37469999999999</v>
      </c>
      <c r="M42" s="73">
        <v>-20.502020000000002</v>
      </c>
      <c r="N42" s="19">
        <v>-20.5</v>
      </c>
      <c r="O42" s="152">
        <v>205.76801703027229</v>
      </c>
      <c r="P42" s="120">
        <v>812</v>
      </c>
      <c r="Q42" s="113">
        <v>0</v>
      </c>
      <c r="R42" s="68">
        <v>0</v>
      </c>
      <c r="S42" s="68">
        <v>2</v>
      </c>
      <c r="T42" s="68">
        <v>0</v>
      </c>
      <c r="U42" s="68">
        <v>1</v>
      </c>
      <c r="V42" s="68">
        <v>0</v>
      </c>
      <c r="W42" s="69">
        <v>0</v>
      </c>
    </row>
    <row r="43" spans="2:23" x14ac:dyDescent="0.25">
      <c r="C43" s="66" t="s">
        <v>28</v>
      </c>
      <c r="D43" s="71">
        <v>1400</v>
      </c>
      <c r="E43" s="67">
        <v>6000</v>
      </c>
      <c r="F43" s="79">
        <v>51.221359999999997</v>
      </c>
      <c r="G43" s="72">
        <v>4.1474859999999998</v>
      </c>
      <c r="H43" s="80">
        <v>-0.64356599999999997</v>
      </c>
      <c r="I43" s="80">
        <v>4.1620999999999998E-2</v>
      </c>
      <c r="J43" s="86">
        <v>-10.463850000000001</v>
      </c>
      <c r="K43" s="86">
        <v>-55.876060000000003</v>
      </c>
      <c r="L43" s="81">
        <v>243.69</v>
      </c>
      <c r="M43" s="96">
        <v>-20.502020000000002</v>
      </c>
      <c r="N43" s="19">
        <v>-20.5</v>
      </c>
      <c r="O43" s="136">
        <v>205.76801703027229</v>
      </c>
      <c r="P43" s="120">
        <v>812</v>
      </c>
      <c r="Q43" s="113">
        <v>0</v>
      </c>
      <c r="R43" s="68">
        <v>0</v>
      </c>
      <c r="S43" s="68">
        <v>2</v>
      </c>
      <c r="T43" s="68">
        <v>0</v>
      </c>
      <c r="U43" s="68">
        <v>1</v>
      </c>
      <c r="V43" s="68">
        <v>0</v>
      </c>
      <c r="W43" s="69">
        <v>0</v>
      </c>
    </row>
    <row r="44" spans="2:23" x14ac:dyDescent="0.25">
      <c r="C44" s="66" t="s">
        <v>21</v>
      </c>
      <c r="D44" s="71">
        <v>100</v>
      </c>
      <c r="E44" s="67">
        <v>500</v>
      </c>
      <c r="F44" s="79">
        <v>28.986409999999999</v>
      </c>
      <c r="G44" s="72">
        <v>1.8539779999999999</v>
      </c>
      <c r="H44" s="80">
        <v>-9.6474589999999996</v>
      </c>
      <c r="I44" s="86">
        <v>16.635370000000002</v>
      </c>
      <c r="J44" s="80">
        <v>1.17E-4</v>
      </c>
      <c r="K44" s="80">
        <v>-8.6719139999999992</v>
      </c>
      <c r="L44" s="81">
        <v>226.41679999999999</v>
      </c>
      <c r="M44" s="87">
        <v>0</v>
      </c>
      <c r="N44" s="148">
        <v>0</v>
      </c>
      <c r="O44" s="152">
        <v>191.61</v>
      </c>
      <c r="P44" s="120">
        <v>0.72</v>
      </c>
      <c r="Q44" s="68">
        <v>0</v>
      </c>
      <c r="R44" s="68">
        <v>0</v>
      </c>
      <c r="S44" s="68">
        <v>0</v>
      </c>
      <c r="T44" s="68">
        <v>2</v>
      </c>
      <c r="U44" s="68">
        <v>0</v>
      </c>
      <c r="V44" s="68">
        <v>0</v>
      </c>
      <c r="W44" s="69">
        <v>0</v>
      </c>
    </row>
    <row r="45" spans="2:23" x14ac:dyDescent="0.25">
      <c r="C45" s="66" t="s">
        <v>21</v>
      </c>
      <c r="D45" s="71">
        <v>500</v>
      </c>
      <c r="E45" s="67">
        <v>2000</v>
      </c>
      <c r="F45" s="77">
        <v>19.50583</v>
      </c>
      <c r="G45" s="75">
        <v>19.887049999999999</v>
      </c>
      <c r="H45" s="74">
        <v>-8.598535</v>
      </c>
      <c r="I45" s="74">
        <v>1.3697839999999999</v>
      </c>
      <c r="J45" s="74">
        <v>0.52760099999999999</v>
      </c>
      <c r="K45" s="74">
        <v>-4.9352020000000003</v>
      </c>
      <c r="L45" s="76">
        <v>212.39</v>
      </c>
      <c r="M45" s="84">
        <v>0</v>
      </c>
      <c r="N45" s="148">
        <v>0</v>
      </c>
      <c r="O45" s="152">
        <v>191.61</v>
      </c>
      <c r="P45" s="120">
        <v>0.72</v>
      </c>
      <c r="Q45" s="68">
        <v>0</v>
      </c>
      <c r="R45" s="68">
        <v>0</v>
      </c>
      <c r="S45" s="68">
        <v>0</v>
      </c>
      <c r="T45" s="68">
        <v>2</v>
      </c>
      <c r="U45" s="68">
        <v>0</v>
      </c>
      <c r="V45" s="68">
        <v>0</v>
      </c>
      <c r="W45" s="69">
        <v>0</v>
      </c>
    </row>
    <row r="46" spans="2:23" x14ac:dyDescent="0.25">
      <c r="C46" s="66" t="s">
        <v>21</v>
      </c>
      <c r="D46" s="71">
        <v>2000</v>
      </c>
      <c r="E46" s="67">
        <v>6000</v>
      </c>
      <c r="F46" s="79">
        <v>35.518720000000002</v>
      </c>
      <c r="G46" s="72">
        <v>1.128728</v>
      </c>
      <c r="H46" s="80">
        <v>-0.196103</v>
      </c>
      <c r="I46" s="80">
        <v>1.4662E-2</v>
      </c>
      <c r="J46" s="80">
        <v>-4.5537599999999996</v>
      </c>
      <c r="K46" s="86">
        <v>-18.97091</v>
      </c>
      <c r="L46" s="81">
        <v>224.98099999999999</v>
      </c>
      <c r="M46" s="87">
        <v>0</v>
      </c>
      <c r="N46" s="148">
        <v>0</v>
      </c>
      <c r="O46" s="152">
        <v>191.61</v>
      </c>
      <c r="P46" s="120">
        <v>0.72</v>
      </c>
      <c r="Q46" s="68">
        <v>0</v>
      </c>
      <c r="R46" s="68">
        <v>0</v>
      </c>
      <c r="S46" s="68">
        <v>0</v>
      </c>
      <c r="T46" s="68">
        <v>2</v>
      </c>
      <c r="U46" s="68">
        <v>0</v>
      </c>
      <c r="V46" s="68">
        <v>0</v>
      </c>
      <c r="W46" s="69">
        <v>0</v>
      </c>
    </row>
    <row r="47" spans="2:23" x14ac:dyDescent="0.25">
      <c r="C47" s="66" t="s">
        <v>23</v>
      </c>
      <c r="D47" s="71">
        <v>100</v>
      </c>
      <c r="E47" s="67">
        <v>700</v>
      </c>
      <c r="F47" s="79">
        <v>31.322340000000001</v>
      </c>
      <c r="G47" s="72">
        <v>-20.235309999999998</v>
      </c>
      <c r="H47" s="86">
        <v>57.866439999999997</v>
      </c>
      <c r="I47" s="86">
        <v>-36.506239999999998</v>
      </c>
      <c r="J47" s="80">
        <v>-7.3740000000000003E-3</v>
      </c>
      <c r="K47" s="80">
        <v>-8.9034709999999997</v>
      </c>
      <c r="L47" s="81">
        <v>246.7945</v>
      </c>
      <c r="M47" s="87">
        <v>0</v>
      </c>
      <c r="N47" s="148">
        <v>0</v>
      </c>
      <c r="O47" s="152">
        <v>205.15199999999999</v>
      </c>
      <c r="P47" s="120">
        <v>3.97</v>
      </c>
      <c r="Q47" s="68">
        <v>0</v>
      </c>
      <c r="R47" s="68">
        <v>2</v>
      </c>
      <c r="S47" s="68">
        <v>0</v>
      </c>
      <c r="T47" s="68">
        <v>0</v>
      </c>
      <c r="U47" s="68">
        <v>0</v>
      </c>
      <c r="V47" s="68">
        <v>0</v>
      </c>
      <c r="W47" s="69">
        <v>0</v>
      </c>
    </row>
    <row r="48" spans="2:23" x14ac:dyDescent="0.25">
      <c r="C48" s="66" t="s">
        <v>23</v>
      </c>
      <c r="D48" s="71">
        <v>700</v>
      </c>
      <c r="E48" s="67">
        <v>2000</v>
      </c>
      <c r="F48" s="77">
        <v>30.032350000000001</v>
      </c>
      <c r="G48" s="74">
        <v>8.7729719999999993</v>
      </c>
      <c r="H48" s="74">
        <v>-3.9881329999999999</v>
      </c>
      <c r="I48" s="74">
        <v>0.78831300000000004</v>
      </c>
      <c r="J48" s="74">
        <v>-0.74159900000000001</v>
      </c>
      <c r="K48" s="75">
        <v>-11.324680000000001</v>
      </c>
      <c r="L48" s="76">
        <v>236.16630000000001</v>
      </c>
      <c r="M48" s="84">
        <v>0</v>
      </c>
      <c r="N48" s="148">
        <v>0</v>
      </c>
      <c r="O48" s="152">
        <v>205.15199999999999</v>
      </c>
      <c r="P48" s="120">
        <v>3.97</v>
      </c>
      <c r="Q48" s="68">
        <v>0</v>
      </c>
      <c r="R48" s="68">
        <v>2</v>
      </c>
      <c r="S48" s="68">
        <v>0</v>
      </c>
      <c r="T48" s="68">
        <v>0</v>
      </c>
      <c r="U48" s="68">
        <v>0</v>
      </c>
      <c r="V48" s="68">
        <v>0</v>
      </c>
      <c r="W48" s="69">
        <v>0</v>
      </c>
    </row>
    <row r="49" spans="1:23" x14ac:dyDescent="0.25">
      <c r="A49" t="s">
        <v>145</v>
      </c>
      <c r="B49" t="s">
        <v>152</v>
      </c>
      <c r="C49" s="66" t="s">
        <v>23</v>
      </c>
      <c r="D49" s="71">
        <v>2000</v>
      </c>
      <c r="E49" s="67">
        <v>6000</v>
      </c>
      <c r="F49" s="79">
        <v>20.911110000000001</v>
      </c>
      <c r="G49" s="72">
        <v>10.72071</v>
      </c>
      <c r="H49" s="80">
        <v>-2.0204979999999999</v>
      </c>
      <c r="I49" s="80">
        <v>0.146449</v>
      </c>
      <c r="J49" s="80">
        <v>9.2457220000000007</v>
      </c>
      <c r="K49" s="80">
        <v>5.3376510000000001</v>
      </c>
      <c r="L49" s="81">
        <v>237.61850000000001</v>
      </c>
      <c r="M49" s="84">
        <v>0</v>
      </c>
      <c r="N49" s="148">
        <v>0</v>
      </c>
      <c r="O49" s="152">
        <v>205.15199999999999</v>
      </c>
      <c r="P49" s="120">
        <v>3.97</v>
      </c>
      <c r="Q49" s="68">
        <v>0</v>
      </c>
      <c r="R49" s="68">
        <v>2</v>
      </c>
      <c r="S49" s="68">
        <v>0</v>
      </c>
      <c r="T49" s="68">
        <v>0</v>
      </c>
      <c r="U49" s="68">
        <v>0</v>
      </c>
      <c r="V49" s="68">
        <v>0</v>
      </c>
      <c r="W49" s="69">
        <v>0</v>
      </c>
    </row>
    <row r="50" spans="1:23" x14ac:dyDescent="0.25">
      <c r="A50" t="s">
        <v>146</v>
      </c>
      <c r="B50" t="s">
        <v>152</v>
      </c>
      <c r="C50" s="66" t="s">
        <v>47</v>
      </c>
      <c r="D50" s="71">
        <v>298</v>
      </c>
      <c r="E50" s="67">
        <v>388</v>
      </c>
      <c r="F50" s="79">
        <v>24.237490000000001</v>
      </c>
      <c r="G50" s="80">
        <v>-4.98306</v>
      </c>
      <c r="H50" s="86">
        <v>33.009</v>
      </c>
      <c r="I50" s="86">
        <v>-15.29616</v>
      </c>
      <c r="J50" s="80">
        <v>-0.18223700000000001</v>
      </c>
      <c r="K50" s="80">
        <v>-7.5162630000000004</v>
      </c>
      <c r="L50" s="86">
        <v>61.491410000000002</v>
      </c>
      <c r="M50" s="91">
        <v>0.36000100000000002</v>
      </c>
      <c r="N50" s="148">
        <v>0</v>
      </c>
      <c r="O50" s="158">
        <v>32.6</v>
      </c>
      <c r="P50" s="121">
        <v>0</v>
      </c>
      <c r="Q50" s="68">
        <v>0</v>
      </c>
      <c r="R50" s="68">
        <v>0</v>
      </c>
      <c r="S50" s="68">
        <v>0</v>
      </c>
      <c r="T50" s="68">
        <v>0</v>
      </c>
      <c r="U50" s="68">
        <v>1</v>
      </c>
      <c r="V50" s="68">
        <v>0</v>
      </c>
      <c r="W50" s="69">
        <v>0</v>
      </c>
    </row>
    <row r="51" spans="1:23" x14ac:dyDescent="0.25">
      <c r="B51" t="s">
        <v>150</v>
      </c>
      <c r="C51" s="66" t="s">
        <v>47</v>
      </c>
      <c r="D51" s="71">
        <v>298</v>
      </c>
      <c r="E51" s="67">
        <v>388</v>
      </c>
      <c r="F51" s="79">
        <v>21.21978</v>
      </c>
      <c r="G51" s="80">
        <v>3.8658579999999998</v>
      </c>
      <c r="H51" s="86">
        <v>22.274609999999999</v>
      </c>
      <c r="I51" s="86">
        <v>-10.31908</v>
      </c>
      <c r="J51" s="80">
        <v>-0.122518</v>
      </c>
      <c r="K51" s="80">
        <v>-7.085604</v>
      </c>
      <c r="L51" s="86">
        <v>54.995750000000001</v>
      </c>
      <c r="M51" s="87">
        <v>0</v>
      </c>
      <c r="N51" s="148">
        <v>0</v>
      </c>
      <c r="O51" s="158">
        <v>31.8</v>
      </c>
      <c r="P51" s="121">
        <v>0</v>
      </c>
      <c r="Q51" s="68">
        <v>0</v>
      </c>
      <c r="R51" s="68">
        <v>0</v>
      </c>
      <c r="S51" s="68">
        <v>0</v>
      </c>
      <c r="T51" s="68">
        <v>0</v>
      </c>
      <c r="U51" s="68">
        <v>1</v>
      </c>
      <c r="V51" s="68">
        <v>0</v>
      </c>
      <c r="W51" s="69">
        <v>0</v>
      </c>
    </row>
    <row r="52" spans="1:23" x14ac:dyDescent="0.25">
      <c r="B52" t="s">
        <v>150</v>
      </c>
      <c r="C52" s="66" t="s">
        <v>47</v>
      </c>
      <c r="D52" s="71">
        <v>388</v>
      </c>
      <c r="E52" s="67">
        <v>432</v>
      </c>
      <c r="F52" s="92">
        <v>-4540.97</v>
      </c>
      <c r="G52" s="93">
        <v>26065.599999999999</v>
      </c>
      <c r="H52" s="94">
        <v>-55520.7</v>
      </c>
      <c r="I52" s="93">
        <v>42012.2</v>
      </c>
      <c r="J52" s="86">
        <v>54.5886</v>
      </c>
      <c r="K52" s="81">
        <v>787.80700000000002</v>
      </c>
      <c r="L52" s="94">
        <v>-10826.3</v>
      </c>
      <c r="M52" s="95">
        <v>1.8537809999999999</v>
      </c>
      <c r="N52" s="148">
        <v>1.85</v>
      </c>
      <c r="O52" s="152">
        <v>36.85</v>
      </c>
      <c r="P52" s="121">
        <v>0</v>
      </c>
      <c r="Q52" s="68">
        <v>0</v>
      </c>
      <c r="R52" s="68">
        <v>0</v>
      </c>
      <c r="S52" s="68">
        <v>0</v>
      </c>
      <c r="T52" s="68">
        <v>0</v>
      </c>
      <c r="U52" s="68">
        <v>1</v>
      </c>
      <c r="V52" s="68">
        <v>0</v>
      </c>
      <c r="W52" s="69">
        <v>0</v>
      </c>
    </row>
    <row r="53" spans="1:23" x14ac:dyDescent="0.25">
      <c r="B53" t="s">
        <v>149</v>
      </c>
      <c r="C53" s="66" t="s">
        <v>47</v>
      </c>
      <c r="D53" s="71">
        <v>432</v>
      </c>
      <c r="E53" s="67">
        <v>882</v>
      </c>
      <c r="F53" s="79">
        <v>-37.933500000000002</v>
      </c>
      <c r="G53" s="81">
        <v>133.24199999999999</v>
      </c>
      <c r="H53" s="86">
        <v>-95.3245</v>
      </c>
      <c r="I53" s="86">
        <v>24.009399999999999</v>
      </c>
      <c r="J53" s="80">
        <v>7.6545300000000003</v>
      </c>
      <c r="K53" s="86">
        <v>29.7881</v>
      </c>
      <c r="L53" s="86">
        <v>-13.1534</v>
      </c>
      <c r="M53" s="95">
        <v>1.8537809999999999</v>
      </c>
      <c r="N53" s="148">
        <v>1.85</v>
      </c>
      <c r="O53" s="158">
        <v>25.4</v>
      </c>
      <c r="P53" s="121">
        <v>0</v>
      </c>
      <c r="Q53" s="68">
        <v>0</v>
      </c>
      <c r="R53" s="68">
        <v>0</v>
      </c>
      <c r="S53" s="68">
        <v>0</v>
      </c>
      <c r="T53" s="68">
        <v>0</v>
      </c>
      <c r="U53" s="68">
        <v>1</v>
      </c>
      <c r="V53" s="68">
        <v>0</v>
      </c>
      <c r="W53" s="69">
        <v>0</v>
      </c>
    </row>
    <row r="54" spans="1:23" x14ac:dyDescent="0.25">
      <c r="B54" t="s">
        <v>149</v>
      </c>
      <c r="C54" s="66" t="s">
        <v>47</v>
      </c>
      <c r="D54" s="71">
        <v>822</v>
      </c>
      <c r="E54" s="67">
        <v>1400</v>
      </c>
      <c r="F54" s="77">
        <v>27.459679999999999</v>
      </c>
      <c r="G54" s="75">
        <v>-13.32784</v>
      </c>
      <c r="H54" s="75">
        <v>10.06574</v>
      </c>
      <c r="I54" s="74">
        <v>-2.6623809999999999</v>
      </c>
      <c r="J54" s="74">
        <v>-5.5850999999999998E-2</v>
      </c>
      <c r="K54" s="76">
        <v>269.11489999999998</v>
      </c>
      <c r="L54" s="76">
        <v>204.2955</v>
      </c>
      <c r="M54" s="78">
        <v>276.98039999999997</v>
      </c>
      <c r="N54" s="148">
        <v>276.98</v>
      </c>
      <c r="O54" s="136">
        <v>167.82925162475198</v>
      </c>
      <c r="P54" s="120">
        <v>609.6</v>
      </c>
      <c r="Q54" s="113">
        <v>0</v>
      </c>
      <c r="R54" s="68">
        <v>0</v>
      </c>
      <c r="S54" s="68">
        <v>0</v>
      </c>
      <c r="T54" s="68">
        <v>0</v>
      </c>
      <c r="U54" s="68">
        <v>1</v>
      </c>
      <c r="V54" s="68">
        <v>0</v>
      </c>
      <c r="W54" s="69">
        <v>0</v>
      </c>
    </row>
    <row r="55" spans="1:23" x14ac:dyDescent="0.25">
      <c r="C55" s="66" t="s">
        <v>47</v>
      </c>
      <c r="D55" s="71">
        <v>1400</v>
      </c>
      <c r="E55" s="67">
        <v>6000</v>
      </c>
      <c r="F55" s="79">
        <v>16.553450000000002</v>
      </c>
      <c r="G55" s="80">
        <v>2.4002659999999998</v>
      </c>
      <c r="H55" s="80">
        <v>0.25575999999999999</v>
      </c>
      <c r="I55" s="80">
        <v>5.8209999999999998E-3</v>
      </c>
      <c r="J55" s="80">
        <v>3.5647929999999999</v>
      </c>
      <c r="K55" s="81">
        <v>278.43560000000002</v>
      </c>
      <c r="L55" s="81">
        <v>194.54470000000001</v>
      </c>
      <c r="M55" s="82">
        <v>276.98039999999997</v>
      </c>
      <c r="N55" s="148">
        <v>276.98</v>
      </c>
      <c r="O55" s="136">
        <v>167.82925162475198</v>
      </c>
      <c r="P55" s="120">
        <v>609.6</v>
      </c>
      <c r="Q55" s="113">
        <v>0</v>
      </c>
      <c r="R55" s="68">
        <v>0</v>
      </c>
      <c r="S55" s="68">
        <v>0</v>
      </c>
      <c r="T55" s="68">
        <v>0</v>
      </c>
      <c r="U55" s="68">
        <v>1</v>
      </c>
      <c r="V55" s="68">
        <v>0</v>
      </c>
      <c r="W55" s="69">
        <v>0</v>
      </c>
    </row>
    <row r="56" spans="1:23" x14ac:dyDescent="0.25">
      <c r="C56" s="66" t="s">
        <v>25</v>
      </c>
      <c r="D56" s="71">
        <v>298</v>
      </c>
      <c r="E56" s="67">
        <v>1200</v>
      </c>
      <c r="F56" s="77">
        <v>21.430489999999999</v>
      </c>
      <c r="G56" s="75">
        <v>74.350939999999994</v>
      </c>
      <c r="H56" s="75">
        <v>-57.75217</v>
      </c>
      <c r="I56" s="75">
        <v>16.355340000000002</v>
      </c>
      <c r="J56" s="74">
        <v>8.6731000000000003E-2</v>
      </c>
      <c r="K56" s="76">
        <v>-305.7688</v>
      </c>
      <c r="L56" s="76">
        <v>254.88720000000001</v>
      </c>
      <c r="M56" s="78">
        <v>-296.84219999999999</v>
      </c>
      <c r="N56" s="17">
        <v>-296.86</v>
      </c>
      <c r="O56" s="136">
        <v>248.21040240573984</v>
      </c>
      <c r="P56" s="120">
        <v>313.39999999999998</v>
      </c>
      <c r="Q56" s="113">
        <v>0</v>
      </c>
      <c r="R56" s="68">
        <v>2</v>
      </c>
      <c r="S56" s="68">
        <v>0</v>
      </c>
      <c r="T56" s="68">
        <v>0</v>
      </c>
      <c r="U56" s="68">
        <v>1</v>
      </c>
      <c r="V56" s="68">
        <v>0</v>
      </c>
      <c r="W56" s="69">
        <v>0</v>
      </c>
    </row>
    <row r="57" spans="1:23" ht="15.75" thickBot="1" x14ac:dyDescent="0.3">
      <c r="C57" s="101" t="s">
        <v>25</v>
      </c>
      <c r="D57" s="116">
        <v>1200</v>
      </c>
      <c r="E57" s="102">
        <v>6000</v>
      </c>
      <c r="F57" s="105">
        <v>57.481879999999997</v>
      </c>
      <c r="G57" s="106">
        <v>1.009328</v>
      </c>
      <c r="H57" s="106">
        <v>-7.6289999999999997E-2</v>
      </c>
      <c r="I57" s="106">
        <v>5.1739999999999998E-3</v>
      </c>
      <c r="J57" s="106">
        <v>-4.045401</v>
      </c>
      <c r="K57" s="107">
        <v>-324.41399999999999</v>
      </c>
      <c r="L57" s="107">
        <v>302.77980000000002</v>
      </c>
      <c r="M57" s="108">
        <v>-296.84219999999999</v>
      </c>
      <c r="N57" s="160">
        <v>-296.86</v>
      </c>
      <c r="O57" s="159">
        <v>248.21040240573984</v>
      </c>
      <c r="P57" s="123">
        <v>313.39999999999998</v>
      </c>
      <c r="Q57" s="117">
        <v>0</v>
      </c>
      <c r="R57" s="103">
        <v>2</v>
      </c>
      <c r="S57" s="103">
        <v>0</v>
      </c>
      <c r="T57" s="103">
        <v>0</v>
      </c>
      <c r="U57" s="103">
        <v>1</v>
      </c>
      <c r="V57" s="103">
        <v>0</v>
      </c>
      <c r="W57" s="104">
        <v>0</v>
      </c>
    </row>
    <row r="58" spans="1:23" x14ac:dyDescent="0.25">
      <c r="C58" s="15" t="s">
        <v>8</v>
      </c>
      <c r="D58" s="15">
        <v>298</v>
      </c>
      <c r="E58" s="15">
        <v>2000</v>
      </c>
      <c r="F58" s="15">
        <f>(F10+F8+F48*1.5)/3</f>
        <v>91.457074999999989</v>
      </c>
      <c r="G58" s="15">
        <f>(G13+G8+G48*1.5)/3</f>
        <v>47.438604666666663</v>
      </c>
      <c r="H58" s="15">
        <f>(H10+H8+H48*1.5)/3</f>
        <v>4.2419074999999999</v>
      </c>
      <c r="I58" s="15">
        <f>(I10+I8+I48*1.5)/3</f>
        <v>-6.2359833333333357E-2</v>
      </c>
      <c r="J58" s="15">
        <f>(J10+J8+J48*1.5)/3</f>
        <v>-25.880902833333334</v>
      </c>
      <c r="K58" s="15">
        <f>(K10+K8+K48*1.5)/3</f>
        <v>314.39065999999997</v>
      </c>
      <c r="L58" s="15">
        <f>(L10+L8+L48*1.5)/3</f>
        <v>301.33381666666668</v>
      </c>
      <c r="M58" s="15">
        <f>(M10+M8+M48*1.5)/3</f>
        <v>385.61866666666668</v>
      </c>
      <c r="N58" s="15"/>
      <c r="O58" s="15"/>
      <c r="P58" s="15"/>
      <c r="Q58" s="30"/>
      <c r="R58" s="30"/>
      <c r="S58" s="30"/>
      <c r="T58" s="30"/>
      <c r="U58" s="30"/>
      <c r="V58" s="30"/>
      <c r="W58" s="30"/>
    </row>
    <row r="59" spans="1:23" x14ac:dyDescent="0.25">
      <c r="C59" s="149" t="s">
        <v>159</v>
      </c>
      <c r="F59" s="129">
        <v>102.13</v>
      </c>
      <c r="G59" s="130">
        <v>28.001999999999999</v>
      </c>
      <c r="H59" s="130">
        <v>-2.9649999999999999</v>
      </c>
      <c r="I59" s="130">
        <v>0</v>
      </c>
      <c r="J59" s="130">
        <v>-2.5145</v>
      </c>
      <c r="K59" s="130">
        <v>-1247.78</v>
      </c>
      <c r="L59" s="130">
        <v>190.13890000000001</v>
      </c>
      <c r="M59" s="131">
        <v>-1207.7</v>
      </c>
    </row>
    <row r="60" spans="1:23" x14ac:dyDescent="0.25">
      <c r="C60" s="149" t="s">
        <v>160</v>
      </c>
      <c r="F60">
        <v>86.896455000000003</v>
      </c>
      <c r="G60">
        <v>-18.830992999999999</v>
      </c>
      <c r="H60">
        <v>5.2257249999999997</v>
      </c>
      <c r="I60">
        <v>-0.38329183333333333</v>
      </c>
      <c r="J60">
        <v>-20.887242333333333</v>
      </c>
      <c r="K60">
        <v>322.72182549999997</v>
      </c>
      <c r="L60">
        <v>302.05991666666665</v>
      </c>
      <c r="M60">
        <v>385.61866666666668</v>
      </c>
    </row>
    <row r="61" spans="1:23" x14ac:dyDescent="0.25">
      <c r="C61" s="149" t="s">
        <v>161</v>
      </c>
      <c r="F61">
        <v>91.457074999999989</v>
      </c>
      <c r="G61">
        <v>-19.804862</v>
      </c>
      <c r="H61">
        <v>4.2419074999999999</v>
      </c>
      <c r="I61">
        <v>-6.2359833333333357E-2</v>
      </c>
      <c r="J61">
        <v>-25.880902833333334</v>
      </c>
      <c r="K61">
        <v>314.39065999999997</v>
      </c>
      <c r="L61">
        <v>301.33381666666668</v>
      </c>
      <c r="M61">
        <v>385.61866666666668</v>
      </c>
    </row>
    <row r="62" spans="1:23" x14ac:dyDescent="0.25">
      <c r="C62" s="149" t="s">
        <v>162</v>
      </c>
      <c r="F62" s="129">
        <v>102.13</v>
      </c>
      <c r="G62" s="130">
        <v>28.001999999999999</v>
      </c>
      <c r="H62" s="130">
        <v>-2.9649999999999999</v>
      </c>
      <c r="I62">
        <v>-6.2359833333333357E-2</v>
      </c>
      <c r="J62">
        <v>-25.880902833333334</v>
      </c>
      <c r="K62">
        <v>314.39065999999997</v>
      </c>
      <c r="L62">
        <v>301.33381666666668</v>
      </c>
      <c r="M62">
        <v>385.61866666666668</v>
      </c>
    </row>
    <row r="63" spans="1:23" x14ac:dyDescent="0.25">
      <c r="A63" t="s">
        <v>165</v>
      </c>
      <c r="C63" s="149" t="s">
        <v>163</v>
      </c>
      <c r="F63">
        <v>91.457074999999989</v>
      </c>
      <c r="G63" s="130">
        <v>28.001999999999999</v>
      </c>
      <c r="H63">
        <v>4.2419074999999999</v>
      </c>
      <c r="I63">
        <v>-6.2359833333333357E-2</v>
      </c>
      <c r="J63">
        <v>-25.880902833333334</v>
      </c>
      <c r="K63">
        <v>314.39065999999997</v>
      </c>
      <c r="L63">
        <v>301.33381666666668</v>
      </c>
      <c r="M63">
        <v>385.61866666666668</v>
      </c>
    </row>
    <row r="64" spans="1:23" x14ac:dyDescent="0.25">
      <c r="C64" s="149" t="s">
        <v>164</v>
      </c>
      <c r="F64">
        <v>91.457074999999989</v>
      </c>
      <c r="G64" s="130">
        <v>47.438000000000002</v>
      </c>
      <c r="H64">
        <v>4.2419074999999999</v>
      </c>
      <c r="I64">
        <v>-6.2359833333333357E-2</v>
      </c>
      <c r="J64">
        <v>-25.880902833333334</v>
      </c>
      <c r="K64">
        <v>314.39065999999997</v>
      </c>
      <c r="L64">
        <v>301.33381666666668</v>
      </c>
      <c r="M64">
        <v>385.61866666666668</v>
      </c>
    </row>
    <row r="65" spans="1:23" x14ac:dyDescent="0.25">
      <c r="F65" t="s">
        <v>167</v>
      </c>
      <c r="G65" t="s">
        <v>166</v>
      </c>
      <c r="H65" t="s">
        <v>166</v>
      </c>
      <c r="I65" t="s">
        <v>167</v>
      </c>
      <c r="J65" t="s">
        <v>167</v>
      </c>
      <c r="K65" t="s">
        <v>166</v>
      </c>
      <c r="L65" t="s">
        <v>166</v>
      </c>
      <c r="M65" t="s">
        <v>166</v>
      </c>
    </row>
    <row r="66" spans="1:23" x14ac:dyDescent="0.25">
      <c r="C66" s="66" t="s">
        <v>157</v>
      </c>
      <c r="D66" s="71">
        <v>1650</v>
      </c>
      <c r="E66" s="67">
        <v>5000</v>
      </c>
      <c r="F66" s="99">
        <v>68.199200000000005</v>
      </c>
      <c r="G66" s="72">
        <f>-4.501232*10^-10</f>
        <v>-4.5012320000000003E-10</v>
      </c>
      <c r="H66" s="72">
        <f>1.195227*10^-10</f>
        <v>1.195227E-10</v>
      </c>
      <c r="I66" s="100">
        <f>-1.064302*10^-11</f>
        <v>-1.064302E-11</v>
      </c>
      <c r="J66" s="72">
        <f>-3.09268*10^-10</f>
        <v>-3.0926800000000004E-10</v>
      </c>
      <c r="K66" s="81">
        <v>-281.43259999999998</v>
      </c>
      <c r="L66" s="81">
        <v>137.83770000000001</v>
      </c>
      <c r="M66" s="82">
        <v>-249.53210000000001</v>
      </c>
    </row>
    <row r="67" spans="1:23" x14ac:dyDescent="0.25">
      <c r="A67" t="s">
        <v>169</v>
      </c>
      <c r="C67" s="149" t="s">
        <v>160</v>
      </c>
      <c r="F67">
        <f>(F23+F48*0.5)/2</f>
        <v>30.520087500000002</v>
      </c>
      <c r="G67">
        <f>(G28+G48*0.5)/2</f>
        <v>6.3771179999999994</v>
      </c>
      <c r="H67">
        <f>(H28+H48*0.5)/2</f>
        <v>-0.99689474999999994</v>
      </c>
      <c r="I67">
        <f>(I28+I48*0.5)/2</f>
        <v>0.19703525000000002</v>
      </c>
      <c r="J67">
        <f>(J27+J48*0.5)/2</f>
        <v>120.88305025</v>
      </c>
      <c r="K67">
        <f>(K28+K48*0.5)/2</f>
        <v>-2.6971565000000002</v>
      </c>
      <c r="L67">
        <f t="shared" ref="L67" si="1">(L23+L48*0.5)/2</f>
        <v>95.312045000000012</v>
      </c>
      <c r="M67">
        <f>(M27+M48*0.5)/2</f>
        <v>0</v>
      </c>
    </row>
    <row r="68" spans="1:23" x14ac:dyDescent="0.25">
      <c r="C68" s="149" t="s">
        <v>168</v>
      </c>
      <c r="F68">
        <v>36.194569999999999</v>
      </c>
      <c r="G68">
        <v>-0.101054</v>
      </c>
      <c r="H68">
        <v>0.64805599999999997</v>
      </c>
      <c r="I68">
        <v>-7.0287000000000002E-2</v>
      </c>
      <c r="J68">
        <v>0.238204</v>
      </c>
      <c r="K68">
        <v>239.47</v>
      </c>
      <c r="L68">
        <v>283.52289999999999</v>
      </c>
      <c r="M68">
        <v>251.04040000000001</v>
      </c>
      <c r="N68" t="s">
        <v>170</v>
      </c>
    </row>
    <row r="69" spans="1:23" x14ac:dyDescent="0.25">
      <c r="C69" s="149" t="s">
        <v>161</v>
      </c>
      <c r="F69">
        <v>68.199200000000005</v>
      </c>
      <c r="G69">
        <v>-4.5012320000000003E-10</v>
      </c>
      <c r="H69">
        <v>1.195227E-10</v>
      </c>
      <c r="I69">
        <v>-1.064302E-11</v>
      </c>
      <c r="J69">
        <v>-3.0926800000000004E-10</v>
      </c>
      <c r="K69">
        <v>-281.43259999999998</v>
      </c>
      <c r="L69">
        <v>137.83770000000001</v>
      </c>
      <c r="M69">
        <v>6.1975100000000003</v>
      </c>
      <c r="N69" t="s">
        <v>171</v>
      </c>
    </row>
    <row r="70" spans="1:23" x14ac:dyDescent="0.25">
      <c r="C70" s="149" t="s">
        <v>162</v>
      </c>
      <c r="F70">
        <v>68.199200000000005</v>
      </c>
      <c r="G70">
        <v>-4.5012320000000003E-10</v>
      </c>
      <c r="H70">
        <v>1.195227E-10</v>
      </c>
      <c r="I70">
        <v>-1.064302E-11</v>
      </c>
      <c r="J70">
        <v>-3.0926800000000004E-10</v>
      </c>
      <c r="K70">
        <v>-281.43259999999998</v>
      </c>
      <c r="L70">
        <v>137.83770000000001</v>
      </c>
      <c r="M70">
        <v>-49.53</v>
      </c>
    </row>
    <row r="71" spans="1:23" x14ac:dyDescent="0.25">
      <c r="C71" s="149" t="s">
        <v>163</v>
      </c>
      <c r="M71">
        <v>-70</v>
      </c>
      <c r="N71" t="s">
        <v>172</v>
      </c>
    </row>
    <row r="72" spans="1:23" x14ac:dyDescent="0.25">
      <c r="M72">
        <v>-65</v>
      </c>
      <c r="N72" t="s">
        <v>173</v>
      </c>
    </row>
    <row r="74" spans="1:23" x14ac:dyDescent="0.25">
      <c r="C74" s="149" t="s">
        <v>174</v>
      </c>
      <c r="D74">
        <v>298</v>
      </c>
      <c r="E74">
        <v>1200</v>
      </c>
      <c r="F74">
        <f>(F7*12 +F37*13)/2</f>
        <v>379.06557950000001</v>
      </c>
      <c r="G74">
        <f>(G7*12 +G37*13)/2</f>
        <v>745.63202049999995</v>
      </c>
      <c r="H74">
        <f>(H7*12 +H37*13)/2</f>
        <v>-458.20734900000002</v>
      </c>
      <c r="I74">
        <f>(I7*12 +I37*13)/2</f>
        <v>111.291607</v>
      </c>
      <c r="J74">
        <f>(J7*12 +J37*13)/2</f>
        <v>8.0520810000000012</v>
      </c>
      <c r="K74">
        <f>(K7*12 +K37*13)/2</f>
        <v>5747.7842529999998</v>
      </c>
      <c r="L74">
        <f>(L7*12 +L37*13)/2</f>
        <v>2573.3828644999994</v>
      </c>
      <c r="M74">
        <f>(M7*12 +M37*13)/2</f>
        <v>5874.3360000000002</v>
      </c>
      <c r="N74">
        <v>-290.89999999999998</v>
      </c>
      <c r="O74">
        <v>622.5</v>
      </c>
      <c r="P74" s="154">
        <v>7511.335</v>
      </c>
      <c r="Q74">
        <v>12</v>
      </c>
      <c r="R74">
        <v>0</v>
      </c>
      <c r="S74">
        <v>26</v>
      </c>
      <c r="T74">
        <v>0</v>
      </c>
      <c r="U74">
        <v>0</v>
      </c>
      <c r="V74">
        <v>0</v>
      </c>
      <c r="W74">
        <v>0</v>
      </c>
    </row>
    <row r="75" spans="1:23" x14ac:dyDescent="0.25">
      <c r="C75" t="s">
        <v>174</v>
      </c>
      <c r="D75">
        <v>298</v>
      </c>
      <c r="E75">
        <v>1200</v>
      </c>
      <c r="F75">
        <v>38.066884000000002</v>
      </c>
      <c r="G75">
        <v>49.814891500000002</v>
      </c>
      <c r="H75">
        <v>-30.918486999999999</v>
      </c>
      <c r="I75">
        <v>7.7425679999999995</v>
      </c>
      <c r="J75">
        <v>-0.47968349999999998</v>
      </c>
      <c r="K75">
        <v>474.61315149999996</v>
      </c>
      <c r="L75">
        <v>216.14648699999998</v>
      </c>
      <c r="M75">
        <v>-290</v>
      </c>
    </row>
    <row r="76" spans="1:23" x14ac:dyDescent="0.25">
      <c r="C76" t="s">
        <v>174</v>
      </c>
      <c r="D76">
        <v>298</v>
      </c>
      <c r="E76">
        <v>1200</v>
      </c>
      <c r="F76">
        <v>265.51015699999999</v>
      </c>
      <c r="G76">
        <v>-73.862210500000003</v>
      </c>
      <c r="H76">
        <v>74.313304000000002</v>
      </c>
      <c r="I76">
        <v>-18.023681</v>
      </c>
      <c r="J76">
        <v>-1.030627</v>
      </c>
      <c r="K76">
        <v>-42.2659205</v>
      </c>
      <c r="L76">
        <v>1410.793831</v>
      </c>
      <c r="M76">
        <v>7.5364199999999997</v>
      </c>
    </row>
    <row r="77" spans="1:23" x14ac:dyDescent="0.25">
      <c r="C77" t="s">
        <v>175</v>
      </c>
      <c r="D77">
        <v>298</v>
      </c>
      <c r="E77">
        <v>1200</v>
      </c>
      <c r="N77">
        <v>-249.7</v>
      </c>
      <c r="O77">
        <v>545.79999999999995</v>
      </c>
      <c r="P77">
        <v>6283.46</v>
      </c>
      <c r="Q77">
        <v>10</v>
      </c>
      <c r="R77">
        <v>0</v>
      </c>
      <c r="S77">
        <v>22</v>
      </c>
      <c r="T77">
        <v>0</v>
      </c>
      <c r="U77">
        <v>0</v>
      </c>
      <c r="V77">
        <v>0</v>
      </c>
      <c r="W77">
        <v>0</v>
      </c>
    </row>
  </sheetData>
  <sortState xmlns:xlrd2="http://schemas.microsoft.com/office/spreadsheetml/2017/richdata2" ref="C7:W58">
    <sortCondition ref="C7"/>
  </sortState>
  <mergeCells count="4">
    <mergeCell ref="F4:M4"/>
    <mergeCell ref="D4:E4"/>
    <mergeCell ref="D5:E5"/>
    <mergeCell ref="Q4:W4"/>
  </mergeCells>
  <phoneticPr fontId="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3"/>
  <sheetViews>
    <sheetView zoomScale="85" zoomScaleNormal="85" workbookViewId="0">
      <selection activeCell="N3" sqref="N3:N5"/>
    </sheetView>
  </sheetViews>
  <sheetFormatPr defaultRowHeight="15" x14ac:dyDescent="0.25"/>
  <cols>
    <col min="2" max="2" width="16.85546875" bestFit="1" customWidth="1"/>
    <col min="12" max="13" width="22.42578125" customWidth="1"/>
    <col min="14" max="14" width="12.5703125" customWidth="1"/>
  </cols>
  <sheetData>
    <row r="1" spans="2:14" x14ac:dyDescent="0.25">
      <c r="C1" t="s">
        <v>86</v>
      </c>
      <c r="F1" t="s">
        <v>87</v>
      </c>
      <c r="J1" t="s">
        <v>85</v>
      </c>
    </row>
    <row r="2" spans="2:14" ht="15.75" thickBot="1" x14ac:dyDescent="0.3">
      <c r="B2" t="s">
        <v>57</v>
      </c>
      <c r="C2">
        <v>720</v>
      </c>
    </row>
    <row r="3" spans="2:14" ht="45.75" thickBot="1" x14ac:dyDescent="0.3">
      <c r="B3" t="s">
        <v>58</v>
      </c>
      <c r="C3">
        <v>3970</v>
      </c>
      <c r="L3" s="138" t="s">
        <v>139</v>
      </c>
      <c r="M3" s="139" t="s">
        <v>138</v>
      </c>
      <c r="N3" s="139" t="s">
        <v>142</v>
      </c>
    </row>
    <row r="4" spans="2:14" x14ac:dyDescent="0.25">
      <c r="B4" t="s">
        <v>59</v>
      </c>
      <c r="C4">
        <v>19870</v>
      </c>
      <c r="L4" s="62" t="s">
        <v>119</v>
      </c>
      <c r="M4" s="133">
        <v>409.87</v>
      </c>
      <c r="N4" s="140" t="s">
        <v>141</v>
      </c>
    </row>
    <row r="5" spans="2:14" ht="15.75" thickBot="1" x14ac:dyDescent="0.3">
      <c r="B5" t="s">
        <v>60</v>
      </c>
      <c r="C5">
        <v>9500</v>
      </c>
      <c r="L5" s="66" t="s">
        <v>132</v>
      </c>
      <c r="M5" s="134">
        <v>729.5</v>
      </c>
      <c r="N5" s="141" t="s">
        <v>140</v>
      </c>
    </row>
    <row r="6" spans="2:14" x14ac:dyDescent="0.25">
      <c r="B6" t="s">
        <v>60</v>
      </c>
      <c r="C6">
        <v>900</v>
      </c>
      <c r="L6" s="66" t="s">
        <v>133</v>
      </c>
      <c r="M6" s="135">
        <v>729.5</v>
      </c>
    </row>
    <row r="7" spans="2:14" x14ac:dyDescent="0.25">
      <c r="B7" t="s">
        <v>61</v>
      </c>
      <c r="C7">
        <v>410260</v>
      </c>
      <c r="L7" s="66" t="s">
        <v>134</v>
      </c>
      <c r="M7" s="134">
        <v>16.3</v>
      </c>
    </row>
    <row r="8" spans="2:14" x14ac:dyDescent="0.25">
      <c r="B8" t="s">
        <v>62</v>
      </c>
      <c r="C8">
        <v>236100</v>
      </c>
      <c r="L8" s="66" t="s">
        <v>136</v>
      </c>
      <c r="M8" s="134">
        <v>127.3</v>
      </c>
    </row>
    <row r="9" spans="2:14" x14ac:dyDescent="0.25">
      <c r="B9" t="s">
        <v>63</v>
      </c>
      <c r="C9">
        <v>609600</v>
      </c>
      <c r="L9" s="66" t="s">
        <v>13</v>
      </c>
      <c r="M9" s="134">
        <v>831.2</v>
      </c>
    </row>
    <row r="10" spans="2:14" x14ac:dyDescent="0.25">
      <c r="B10" t="s">
        <v>64</v>
      </c>
      <c r="C10">
        <v>275100</v>
      </c>
      <c r="L10" s="66" t="s">
        <v>14</v>
      </c>
      <c r="M10" s="136">
        <v>274.70999999999998</v>
      </c>
    </row>
    <row r="11" spans="2:14" x14ac:dyDescent="0.25">
      <c r="B11" t="s">
        <v>65</v>
      </c>
      <c r="C11">
        <v>313400</v>
      </c>
      <c r="L11" s="66" t="s">
        <v>16</v>
      </c>
      <c r="M11" s="134">
        <v>19.48</v>
      </c>
    </row>
    <row r="12" spans="2:14" x14ac:dyDescent="0.25">
      <c r="B12" t="s">
        <v>66</v>
      </c>
      <c r="C12">
        <v>88900</v>
      </c>
      <c r="L12" s="66" t="s">
        <v>135</v>
      </c>
      <c r="M12" s="134">
        <v>374.3</v>
      </c>
    </row>
    <row r="13" spans="2:14" x14ac:dyDescent="0.25">
      <c r="B13" t="s">
        <v>67</v>
      </c>
      <c r="C13">
        <v>55600</v>
      </c>
      <c r="L13" s="66" t="s">
        <v>131</v>
      </c>
      <c r="M13" s="134">
        <v>12.4</v>
      </c>
    </row>
    <row r="14" spans="2:14" x14ac:dyDescent="0.25">
      <c r="B14" t="s">
        <v>68</v>
      </c>
      <c r="C14">
        <v>0</v>
      </c>
      <c r="L14" s="66" t="s">
        <v>137</v>
      </c>
      <c r="M14" s="134">
        <v>116.3</v>
      </c>
    </row>
    <row r="15" spans="2:14" x14ac:dyDescent="0.25">
      <c r="B15" t="s">
        <v>69</v>
      </c>
      <c r="C15">
        <v>812000</v>
      </c>
      <c r="L15" s="66" t="s">
        <v>125</v>
      </c>
      <c r="M15" s="134">
        <v>124.9</v>
      </c>
    </row>
    <row r="16" spans="2:14" x14ac:dyDescent="0.25">
      <c r="B16" t="s">
        <v>70</v>
      </c>
      <c r="C16">
        <v>337900</v>
      </c>
      <c r="L16" s="66" t="s">
        <v>18</v>
      </c>
      <c r="M16" s="134">
        <v>236.1</v>
      </c>
    </row>
    <row r="17" spans="2:13" x14ac:dyDescent="0.25">
      <c r="B17" t="s">
        <v>58</v>
      </c>
      <c r="C17">
        <v>233700</v>
      </c>
      <c r="L17" s="66" t="s">
        <v>120</v>
      </c>
      <c r="M17" s="136">
        <v>9.5</v>
      </c>
    </row>
    <row r="18" spans="2:13" x14ac:dyDescent="0.25">
      <c r="B18" t="s">
        <v>62</v>
      </c>
      <c r="C18">
        <v>331300</v>
      </c>
      <c r="L18" s="66" t="s">
        <v>121</v>
      </c>
      <c r="M18" s="134">
        <v>0.9</v>
      </c>
    </row>
    <row r="19" spans="2:13" x14ac:dyDescent="0.25">
      <c r="B19" t="s">
        <v>57</v>
      </c>
      <c r="C19">
        <v>0</v>
      </c>
      <c r="L19" s="66" t="s">
        <v>28</v>
      </c>
      <c r="M19" s="134">
        <v>812</v>
      </c>
    </row>
    <row r="20" spans="2:13" x14ac:dyDescent="0.25">
      <c r="B20" s="42" t="s">
        <v>71</v>
      </c>
      <c r="C20" s="42">
        <v>831650</v>
      </c>
      <c r="L20" s="66" t="s">
        <v>21</v>
      </c>
      <c r="M20" s="134">
        <v>0.72</v>
      </c>
    </row>
    <row r="21" spans="2:13" x14ac:dyDescent="0.25">
      <c r="B21" t="s">
        <v>72</v>
      </c>
      <c r="C21">
        <v>1265800</v>
      </c>
      <c r="L21" s="66" t="s">
        <v>23</v>
      </c>
      <c r="M21" s="134">
        <v>3.97</v>
      </c>
    </row>
    <row r="22" spans="2:13" x14ac:dyDescent="0.25">
      <c r="B22" t="s">
        <v>73</v>
      </c>
      <c r="C22">
        <v>1361100</v>
      </c>
      <c r="L22" s="66" t="s">
        <v>122</v>
      </c>
      <c r="M22" s="134">
        <v>609.6</v>
      </c>
    </row>
    <row r="23" spans="2:13" ht="15.75" thickBot="1" x14ac:dyDescent="0.3">
      <c r="B23" t="s">
        <v>74</v>
      </c>
      <c r="C23">
        <v>1495840</v>
      </c>
      <c r="L23" s="101" t="s">
        <v>25</v>
      </c>
      <c r="M23" s="137">
        <v>313.39999999999998</v>
      </c>
    </row>
    <row r="24" spans="2:13" x14ac:dyDescent="0.25">
      <c r="B24" t="s">
        <v>75</v>
      </c>
      <c r="C24">
        <v>2003900</v>
      </c>
    </row>
    <row r="25" spans="2:13" x14ac:dyDescent="0.25">
      <c r="B25" t="s">
        <v>76</v>
      </c>
      <c r="C25">
        <v>2154000</v>
      </c>
    </row>
    <row r="26" spans="2:13" x14ac:dyDescent="0.25">
      <c r="B26" t="s">
        <v>77</v>
      </c>
      <c r="C26">
        <v>2805800</v>
      </c>
    </row>
    <row r="27" spans="2:13" x14ac:dyDescent="0.25">
      <c r="B27" t="s">
        <v>78</v>
      </c>
      <c r="C27">
        <v>3463300</v>
      </c>
    </row>
    <row r="28" spans="2:13" x14ac:dyDescent="0.25">
      <c r="B28" t="s">
        <v>79</v>
      </c>
      <c r="C28">
        <v>3303600</v>
      </c>
    </row>
    <row r="29" spans="2:13" x14ac:dyDescent="0.25">
      <c r="B29" t="s">
        <v>80</v>
      </c>
      <c r="C29">
        <v>5413100</v>
      </c>
    </row>
    <row r="30" spans="2:13" x14ac:dyDescent="0.25">
      <c r="B30" t="s">
        <v>81</v>
      </c>
      <c r="C30">
        <v>722300</v>
      </c>
    </row>
    <row r="31" spans="2:13" x14ac:dyDescent="0.25">
      <c r="B31" t="s">
        <v>82</v>
      </c>
      <c r="C31">
        <v>718000</v>
      </c>
    </row>
    <row r="32" spans="2:13" x14ac:dyDescent="0.25">
      <c r="B32" t="s">
        <v>83</v>
      </c>
      <c r="C32">
        <v>1363900</v>
      </c>
    </row>
    <row r="33" spans="2:3" x14ac:dyDescent="0.25">
      <c r="B33" t="s">
        <v>84</v>
      </c>
      <c r="C33">
        <v>1375700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6"/>
  <sheetViews>
    <sheetView workbookViewId="0">
      <pane xSplit="2" topLeftCell="Q1" activePane="topRight" state="frozen"/>
      <selection activeCell="A2" sqref="A2"/>
      <selection pane="topRight" activeCell="C12" sqref="C12"/>
    </sheetView>
  </sheetViews>
  <sheetFormatPr defaultRowHeight="15" x14ac:dyDescent="0.25"/>
  <cols>
    <col min="1" max="1" width="36.85546875" customWidth="1"/>
    <col min="2" max="2" width="29" customWidth="1"/>
    <col min="3" max="3" width="17.140625" bestFit="1" customWidth="1"/>
    <col min="4" max="4" width="16.140625" bestFit="1" customWidth="1"/>
    <col min="5" max="5" width="17.5703125" customWidth="1"/>
    <col min="6" max="8" width="17.140625" bestFit="1" customWidth="1"/>
    <col min="9" max="9" width="18.140625" bestFit="1" customWidth="1"/>
    <col min="10" max="10" width="17.140625" bestFit="1" customWidth="1"/>
    <col min="11" max="11" width="17.140625" customWidth="1"/>
    <col min="12" max="12" width="17.140625" bestFit="1" customWidth="1"/>
    <col min="13" max="13" width="16.140625" bestFit="1" customWidth="1"/>
    <col min="14" max="14" width="17.140625" bestFit="1" customWidth="1"/>
    <col min="15" max="16" width="18.5703125" customWidth="1"/>
    <col min="17" max="18" width="17.140625" bestFit="1" customWidth="1"/>
    <col min="19" max="19" width="18.140625" bestFit="1" customWidth="1"/>
    <col min="20" max="20" width="20.5703125" customWidth="1"/>
    <col min="21" max="21" width="17.5703125" customWidth="1"/>
    <col min="22" max="23" width="19.85546875" customWidth="1"/>
    <col min="24" max="24" width="18.85546875" customWidth="1"/>
    <col min="25" max="25" width="18.140625" bestFit="1" customWidth="1"/>
    <col min="26" max="26" width="20.85546875" customWidth="1"/>
    <col min="27" max="27" width="16.140625" bestFit="1" customWidth="1"/>
    <col min="28" max="28" width="19.140625" customWidth="1"/>
    <col min="29" max="29" width="18.140625" bestFit="1" customWidth="1"/>
  </cols>
  <sheetData>
    <row r="1" spans="1:30" ht="15.75" thickBot="1" x14ac:dyDescent="0.3">
      <c r="C1" s="166" t="s">
        <v>10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8"/>
    </row>
    <row r="2" spans="1:30" ht="45" x14ac:dyDescent="0.25">
      <c r="C2" s="23" t="s">
        <v>11</v>
      </c>
      <c r="D2" s="23" t="s">
        <v>32</v>
      </c>
      <c r="E2" s="24" t="s">
        <v>12</v>
      </c>
      <c r="F2" s="24" t="s">
        <v>12</v>
      </c>
      <c r="G2" s="24" t="s">
        <v>15</v>
      </c>
      <c r="H2" s="24" t="s">
        <v>17</v>
      </c>
      <c r="I2" s="24" t="s">
        <v>19</v>
      </c>
      <c r="J2" s="24" t="s">
        <v>20</v>
      </c>
      <c r="K2" s="24" t="s">
        <v>22</v>
      </c>
      <c r="L2" s="24" t="s">
        <v>96</v>
      </c>
      <c r="M2" s="24" t="s">
        <v>99</v>
      </c>
      <c r="N2" s="24" t="s">
        <v>100</v>
      </c>
      <c r="O2" s="24" t="s">
        <v>95</v>
      </c>
      <c r="P2" s="24" t="s">
        <v>93</v>
      </c>
      <c r="Q2" s="24" t="s">
        <v>24</v>
      </c>
      <c r="R2" s="24" t="s">
        <v>29</v>
      </c>
      <c r="S2" s="24" t="s">
        <v>30</v>
      </c>
      <c r="T2" s="24" t="s">
        <v>31</v>
      </c>
      <c r="U2" s="24" t="s">
        <v>15</v>
      </c>
      <c r="V2" s="24" t="s">
        <v>26</v>
      </c>
      <c r="W2" s="26"/>
      <c r="X2" s="25" t="s">
        <v>27</v>
      </c>
      <c r="Y2" s="25" t="s">
        <v>54</v>
      </c>
      <c r="Z2" s="25" t="s">
        <v>52</v>
      </c>
      <c r="AA2" s="25" t="s">
        <v>91</v>
      </c>
      <c r="AB2" s="25" t="s">
        <v>56</v>
      </c>
      <c r="AC2" s="25" t="s">
        <v>89</v>
      </c>
    </row>
    <row r="3" spans="1:30" ht="15.75" thickBot="1" x14ac:dyDescent="0.3">
      <c r="C3" s="20" t="s">
        <v>88</v>
      </c>
      <c r="D3" s="28" t="s">
        <v>33</v>
      </c>
      <c r="E3" s="21" t="s">
        <v>13</v>
      </c>
      <c r="F3" s="21" t="s">
        <v>14</v>
      </c>
      <c r="G3" s="21" t="s">
        <v>16</v>
      </c>
      <c r="H3" s="21" t="s">
        <v>18</v>
      </c>
      <c r="I3" s="21" t="s">
        <v>34</v>
      </c>
      <c r="J3" s="21" t="s">
        <v>21</v>
      </c>
      <c r="K3" s="21" t="s">
        <v>23</v>
      </c>
      <c r="L3" s="21" t="s">
        <v>97</v>
      </c>
      <c r="M3" s="21" t="s">
        <v>98</v>
      </c>
      <c r="N3" s="21" t="s">
        <v>98</v>
      </c>
      <c r="O3" s="21" t="s">
        <v>94</v>
      </c>
      <c r="P3" s="21" t="s">
        <v>92</v>
      </c>
      <c r="Q3" s="21" t="s">
        <v>49</v>
      </c>
      <c r="R3" s="21" t="s">
        <v>2</v>
      </c>
      <c r="S3" s="21" t="s">
        <v>36</v>
      </c>
      <c r="T3" s="21" t="s">
        <v>47</v>
      </c>
      <c r="U3" s="21" t="s">
        <v>25</v>
      </c>
      <c r="V3" s="21" t="s">
        <v>35</v>
      </c>
      <c r="W3" s="27" t="s">
        <v>8</v>
      </c>
      <c r="X3" s="22" t="s">
        <v>28</v>
      </c>
      <c r="Y3" s="34" t="s">
        <v>55</v>
      </c>
      <c r="Z3" s="34" t="s">
        <v>53</v>
      </c>
      <c r="AA3" s="35" t="s">
        <v>51</v>
      </c>
      <c r="AB3" s="35" t="s">
        <v>90</v>
      </c>
      <c r="AC3" s="35" t="s">
        <v>101</v>
      </c>
    </row>
    <row r="4" spans="1:30" x14ac:dyDescent="0.25">
      <c r="A4" s="163" t="s">
        <v>9</v>
      </c>
      <c r="B4" s="1" t="s">
        <v>0</v>
      </c>
      <c r="C4" s="19">
        <v>30.091999999999999</v>
      </c>
      <c r="D4" s="17">
        <v>-203.60599999999999</v>
      </c>
      <c r="E4" s="14">
        <v>-0.70302900000000002</v>
      </c>
      <c r="F4" s="4">
        <v>25.567589999999999</v>
      </c>
      <c r="G4" s="4">
        <v>24.997350000000001</v>
      </c>
      <c r="H4" s="5">
        <v>33.066178000000001</v>
      </c>
      <c r="I4" s="5">
        <v>18.563082999999999</v>
      </c>
      <c r="J4" s="4">
        <v>19.50583</v>
      </c>
      <c r="K4" s="4">
        <v>30.032350000000001</v>
      </c>
      <c r="L4" s="4">
        <v>19.775169999999999</v>
      </c>
      <c r="M4" s="4">
        <v>11.11735</v>
      </c>
      <c r="N4" s="4">
        <v>-40.63785</v>
      </c>
      <c r="O4" s="4">
        <v>35.000039999999998</v>
      </c>
      <c r="P4" s="4">
        <v>121.547</v>
      </c>
      <c r="Q4" s="4">
        <v>49.954030000000003</v>
      </c>
      <c r="R4" s="4">
        <v>43.067590000000003</v>
      </c>
      <c r="S4" s="8">
        <v>107.7757</v>
      </c>
      <c r="T4" s="4">
        <v>27.459679999999999</v>
      </c>
      <c r="U4" s="4">
        <v>21.430489999999999</v>
      </c>
      <c r="V4" s="4">
        <v>57.481879999999997</v>
      </c>
      <c r="W4" s="4"/>
      <c r="X4" s="6">
        <v>26.884119999999999</v>
      </c>
      <c r="Y4" s="39">
        <v>45.751199999999997</v>
      </c>
      <c r="Z4" s="39">
        <v>68.199200000000005</v>
      </c>
      <c r="AA4" s="39">
        <v>93.438339999999997</v>
      </c>
      <c r="AB4" s="39">
        <v>110.9362</v>
      </c>
      <c r="AC4">
        <v>-57767.65</v>
      </c>
    </row>
    <row r="5" spans="1:30" x14ac:dyDescent="0.25">
      <c r="A5" s="164"/>
      <c r="B5" s="2" t="s">
        <v>1</v>
      </c>
      <c r="C5" s="15">
        <v>6.8325139999999998</v>
      </c>
      <c r="D5" s="29">
        <v>1523.29</v>
      </c>
      <c r="E5" s="14">
        <v>108.4773</v>
      </c>
      <c r="F5" s="4">
        <v>6.0961299999999996</v>
      </c>
      <c r="G5" s="4">
        <v>55.186959999999999</v>
      </c>
      <c r="H5" s="5">
        <v>-11.363417</v>
      </c>
      <c r="I5" s="5">
        <v>12.257357000000001</v>
      </c>
      <c r="J5" s="4">
        <v>19.887049999999999</v>
      </c>
      <c r="K5" s="5">
        <v>8.7729719999999993</v>
      </c>
      <c r="L5" s="5">
        <v>10.108129999999999</v>
      </c>
      <c r="M5" s="5">
        <v>38.52364</v>
      </c>
      <c r="N5" s="5">
        <v>126.7765</v>
      </c>
      <c r="O5" s="46">
        <f>1.119602*10^-10</f>
        <v>1.1196020000000001E-10</v>
      </c>
      <c r="P5" s="5">
        <v>-74.953900000000004</v>
      </c>
      <c r="Q5" s="5">
        <v>4.8879159999999997</v>
      </c>
      <c r="R5" s="8">
        <v>110.9932</v>
      </c>
      <c r="S5" s="5">
        <v>2.3798560000000002</v>
      </c>
      <c r="T5" s="4">
        <v>-13.32784</v>
      </c>
      <c r="U5" s="4">
        <v>74.350939999999994</v>
      </c>
      <c r="V5" s="5">
        <v>1.009328</v>
      </c>
      <c r="W5" s="5"/>
      <c r="X5" s="6">
        <v>18.678090000000001</v>
      </c>
      <c r="Y5" s="36">
        <v>18.785530000000001</v>
      </c>
      <c r="Z5">
        <f>-4.501232*10^-10</f>
        <v>-4.5012320000000003E-10</v>
      </c>
      <c r="AA5">
        <v>108.35769999999999</v>
      </c>
      <c r="AB5">
        <v>32.047139999999999</v>
      </c>
      <c r="AC5" s="45">
        <v>137919.70000000001</v>
      </c>
      <c r="AD5" s="45"/>
    </row>
    <row r="6" spans="1:30" x14ac:dyDescent="0.25">
      <c r="A6" s="164"/>
      <c r="B6" s="2" t="s">
        <v>2</v>
      </c>
      <c r="C6" s="15">
        <v>6.7934349999999997</v>
      </c>
      <c r="D6" s="15">
        <v>-3196.413</v>
      </c>
      <c r="E6" s="14">
        <v>-42.521569999999997</v>
      </c>
      <c r="F6" s="5">
        <v>4.0546559999999996</v>
      </c>
      <c r="G6" s="4">
        <v>-33.691369999999999</v>
      </c>
      <c r="H6" s="5">
        <v>11.432816000000001</v>
      </c>
      <c r="I6" s="5">
        <v>-2.8597860000000002</v>
      </c>
      <c r="J6" s="5">
        <v>-8.598535</v>
      </c>
      <c r="K6" s="5">
        <v>-3.9881329999999999</v>
      </c>
      <c r="L6" s="5">
        <v>14.50338</v>
      </c>
      <c r="M6" s="5">
        <v>-8.8914190000000008</v>
      </c>
      <c r="N6" s="5">
        <v>-69.738910000000004</v>
      </c>
      <c r="O6" s="46">
        <f>-8.292981*10^-11</f>
        <v>-8.2929809999999985E-11</v>
      </c>
      <c r="P6" s="5">
        <v>19.1723</v>
      </c>
      <c r="Q6" s="5">
        <v>-0.35205599999999998</v>
      </c>
      <c r="R6" s="4">
        <v>-73.26979</v>
      </c>
      <c r="S6" s="5">
        <v>-0.46437800000000001</v>
      </c>
      <c r="T6" s="4">
        <v>10.06574</v>
      </c>
      <c r="U6" s="4">
        <v>-57.75217</v>
      </c>
      <c r="V6" s="5">
        <v>-7.6289999999999997E-2</v>
      </c>
      <c r="W6" s="5"/>
      <c r="X6" s="7">
        <v>3.4342030000000001</v>
      </c>
      <c r="Y6" s="37">
        <v>-5.9522009999999996</v>
      </c>
      <c r="Z6">
        <f>1.195227*10^-10</f>
        <v>1.195227E-10</v>
      </c>
      <c r="AA6" s="37">
        <v>-50.864469999999997</v>
      </c>
      <c r="AB6" s="37">
        <v>-9.1923329999999996</v>
      </c>
      <c r="AC6">
        <v>-122773.2</v>
      </c>
    </row>
    <row r="7" spans="1:30" x14ac:dyDescent="0.25">
      <c r="A7" s="164"/>
      <c r="B7" s="2" t="s">
        <v>3</v>
      </c>
      <c r="C7" s="18">
        <v>-2.5344799999999998</v>
      </c>
      <c r="D7" s="29">
        <v>2474.4549999999999</v>
      </c>
      <c r="E7" s="14">
        <v>5.8627880000000001</v>
      </c>
      <c r="F7" s="5">
        <v>-2.6713010000000001</v>
      </c>
      <c r="G7" s="5">
        <v>7.9483870000000003</v>
      </c>
      <c r="H7" s="5">
        <v>-2.7728739999999998</v>
      </c>
      <c r="I7" s="5">
        <v>0.26823799999999998</v>
      </c>
      <c r="J7" s="5">
        <v>1.3697839999999999</v>
      </c>
      <c r="K7" s="5">
        <v>0.78831300000000004</v>
      </c>
      <c r="L7" s="5">
        <v>-5.5294910000000002</v>
      </c>
      <c r="M7" s="5">
        <v>-9.6183049999999994</v>
      </c>
      <c r="N7" s="5">
        <v>17.931619999999999</v>
      </c>
      <c r="O7" s="46">
        <f>1.87888*10^-11</f>
        <v>1.8788799999999999E-11</v>
      </c>
      <c r="P7" s="5">
        <v>-1.4008210000000001</v>
      </c>
      <c r="Q7" s="5">
        <v>4.6186999999999999E-2</v>
      </c>
      <c r="R7" s="4">
        <v>18.258009999999999</v>
      </c>
      <c r="S7" s="5">
        <v>3.1272000000000001E-2</v>
      </c>
      <c r="T7" s="5">
        <v>-2.6623809999999999</v>
      </c>
      <c r="U7" s="4">
        <v>16.355340000000002</v>
      </c>
      <c r="V7" s="5">
        <v>5.1739999999999998E-3</v>
      </c>
      <c r="W7" s="5"/>
      <c r="X7" s="7">
        <v>-3.3787020000000001</v>
      </c>
      <c r="Y7" s="37">
        <v>0.85277899999999995</v>
      </c>
      <c r="Z7" s="38">
        <f>-1.064302*10^-11</f>
        <v>-1.064302E-11</v>
      </c>
      <c r="AA7" s="37">
        <v>25.586829999999999</v>
      </c>
      <c r="AB7" s="37">
        <v>0.90150600000000003</v>
      </c>
      <c r="AC7">
        <v>38682.42</v>
      </c>
    </row>
    <row r="8" spans="1:30" x14ac:dyDescent="0.25">
      <c r="A8" s="164"/>
      <c r="B8" s="2" t="s">
        <v>4</v>
      </c>
      <c r="C8" s="15">
        <v>8.2139000000000004E-2</v>
      </c>
      <c r="D8" s="15">
        <v>3.8553259999999998</v>
      </c>
      <c r="E8" s="14">
        <v>0.67856499999999997</v>
      </c>
      <c r="F8" s="5">
        <v>0.131021</v>
      </c>
      <c r="G8" s="5">
        <v>-0.13663800000000001</v>
      </c>
      <c r="H8" s="5">
        <v>-0.158558</v>
      </c>
      <c r="I8" s="5">
        <v>1.9779899999999999</v>
      </c>
      <c r="J8" s="5">
        <v>0.52760099999999999</v>
      </c>
      <c r="K8" s="5">
        <v>-0.74159900000000001</v>
      </c>
      <c r="L8" s="5">
        <v>0.17803099999999999</v>
      </c>
      <c r="M8" s="5">
        <v>0.39184999999999998</v>
      </c>
      <c r="N8" s="5">
        <v>5.4094939999999996</v>
      </c>
      <c r="O8" s="46">
        <f>-1.912569*10^-12</f>
        <v>-1.912569E-12</v>
      </c>
      <c r="P8" s="5">
        <v>-64.513400000000004</v>
      </c>
      <c r="Q8" s="5">
        <v>-0.82509699999999997</v>
      </c>
      <c r="R8" s="5">
        <v>-0.80080899999999999</v>
      </c>
      <c r="S8" s="4">
        <v>-12.016909999999999</v>
      </c>
      <c r="T8" s="5">
        <v>-5.5850999999999998E-2</v>
      </c>
      <c r="U8" s="5">
        <v>8.6731000000000003E-2</v>
      </c>
      <c r="V8" s="5">
        <v>-4.045401</v>
      </c>
      <c r="W8" s="5"/>
      <c r="X8" s="7">
        <v>0.135882</v>
      </c>
      <c r="Y8" s="37">
        <v>-8.1265000000000004E-2</v>
      </c>
      <c r="Z8">
        <f>-3.09268*10^-10</f>
        <v>-3.0926800000000004E-10</v>
      </c>
      <c r="AA8" s="37">
        <v>-1.6113299999999999</v>
      </c>
      <c r="AB8" s="37">
        <v>5.4336770000000003</v>
      </c>
      <c r="AC8" s="45">
        <v>3993.08</v>
      </c>
    </row>
    <row r="9" spans="1:30" x14ac:dyDescent="0.25">
      <c r="A9" s="164"/>
      <c r="B9" s="2" t="s">
        <v>5</v>
      </c>
      <c r="C9" s="17">
        <v>-250.881</v>
      </c>
      <c r="D9" s="17">
        <v>-256.5478</v>
      </c>
      <c r="E9" s="14">
        <v>-76.843760000000003</v>
      </c>
      <c r="F9" s="8">
        <v>-118.0089</v>
      </c>
      <c r="G9" s="8">
        <v>-403.60750000000002</v>
      </c>
      <c r="H9" s="5">
        <v>-9.9807970000000008</v>
      </c>
      <c r="I9" s="5">
        <v>-1.147438</v>
      </c>
      <c r="J9" s="5">
        <v>-4.9352020000000003</v>
      </c>
      <c r="K9" s="4">
        <v>-11.324680000000001</v>
      </c>
      <c r="L9" s="5">
        <v>-5.862997</v>
      </c>
      <c r="M9" s="5">
        <v>-2.5635029999999999</v>
      </c>
      <c r="N9" s="4">
        <v>24.49192</v>
      </c>
      <c r="O9" s="5">
        <v>-2.6469459999999998</v>
      </c>
      <c r="P9" s="4">
        <v>42.235399999999998</v>
      </c>
      <c r="Q9" s="8">
        <v>-652.97180000000003</v>
      </c>
      <c r="R9" s="8">
        <v>959.20709999999997</v>
      </c>
      <c r="S9" s="8">
        <v>917.92359999999996</v>
      </c>
      <c r="T9" s="8">
        <v>269.11489999999998</v>
      </c>
      <c r="U9" s="8">
        <v>-305.7688</v>
      </c>
      <c r="V9" s="8">
        <v>-324.41399999999999</v>
      </c>
      <c r="W9" s="8"/>
      <c r="X9" s="6">
        <v>-28.912109999999998</v>
      </c>
      <c r="Y9" s="39">
        <v>-286.74290000000002</v>
      </c>
      <c r="Z9" s="39">
        <v>-281.43259999999998</v>
      </c>
      <c r="AA9" s="39">
        <v>-863.20939999999996</v>
      </c>
      <c r="AB9" s="39">
        <v>-843.14710000000002</v>
      </c>
      <c r="AC9">
        <v>24078.67</v>
      </c>
    </row>
    <row r="10" spans="1:30" x14ac:dyDescent="0.25">
      <c r="A10" s="164"/>
      <c r="B10" s="2" t="s">
        <v>6</v>
      </c>
      <c r="C10" s="15">
        <v>223.39670000000001</v>
      </c>
      <c r="D10" s="15">
        <v>-488.71629999999999</v>
      </c>
      <c r="E10" s="14">
        <v>158.71629999999999</v>
      </c>
      <c r="F10" s="8">
        <v>227.3665</v>
      </c>
      <c r="G10" s="8">
        <v>228.2431</v>
      </c>
      <c r="H10" s="5">
        <v>172.70797400000001</v>
      </c>
      <c r="I10" s="5">
        <v>156.28813299999999</v>
      </c>
      <c r="J10" s="8">
        <v>212.39</v>
      </c>
      <c r="K10" s="8">
        <v>236.16630000000001</v>
      </c>
      <c r="L10" s="4">
        <v>62.916060000000002</v>
      </c>
      <c r="M10" s="4">
        <v>47.718519999999998</v>
      </c>
      <c r="N10" s="4">
        <v>-15.672969999999999</v>
      </c>
      <c r="O10" s="4">
        <v>87.86609</v>
      </c>
      <c r="P10" s="8">
        <v>217.447</v>
      </c>
      <c r="Q10" s="4">
        <v>92.560959999999994</v>
      </c>
      <c r="R10" s="8">
        <v>259.58499999999998</v>
      </c>
      <c r="S10" s="8">
        <v>332.30500000000001</v>
      </c>
      <c r="T10" s="8">
        <v>204.2955</v>
      </c>
      <c r="U10" s="8">
        <v>254.88720000000001</v>
      </c>
      <c r="V10" s="8">
        <v>302.77980000000002</v>
      </c>
      <c r="W10" s="8"/>
      <c r="X10" s="9">
        <v>233.37469999999999</v>
      </c>
      <c r="Y10" s="40">
        <v>110.312</v>
      </c>
      <c r="Z10" s="39">
        <v>137.83770000000001</v>
      </c>
      <c r="AA10" s="39">
        <v>161.0719</v>
      </c>
      <c r="AB10" s="39">
        <v>228.35480000000001</v>
      </c>
      <c r="AC10" s="45">
        <v>-87364.01</v>
      </c>
      <c r="AD10" s="45"/>
    </row>
    <row r="11" spans="1:30" ht="15.75" thickBot="1" x14ac:dyDescent="0.3">
      <c r="A11" s="165"/>
      <c r="B11" s="3" t="s">
        <v>7</v>
      </c>
      <c r="C11" s="16">
        <v>-241.82640000000001</v>
      </c>
      <c r="D11" s="16">
        <v>-285.8304</v>
      </c>
      <c r="E11" s="12">
        <v>-74.873099999999994</v>
      </c>
      <c r="F11" s="10">
        <v>-110.5271</v>
      </c>
      <c r="G11" s="10">
        <v>-393.5224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47">
        <v>1.056001</v>
      </c>
      <c r="N11" s="47">
        <v>1.056001</v>
      </c>
      <c r="O11" s="47">
        <v>7.7880149999999997</v>
      </c>
      <c r="P11" s="10">
        <v>177.8</v>
      </c>
      <c r="Q11" s="10">
        <v>-635.08939999999996</v>
      </c>
      <c r="R11" s="10">
        <v>979.05600000000004</v>
      </c>
      <c r="S11" s="10">
        <v>979.05600000000004</v>
      </c>
      <c r="T11" s="10">
        <v>276.98039999999997</v>
      </c>
      <c r="U11" s="10">
        <v>-296.84219999999999</v>
      </c>
      <c r="V11" s="10">
        <v>-296.84219999999999</v>
      </c>
      <c r="W11" s="10"/>
      <c r="X11" s="13">
        <v>-20.502020000000002</v>
      </c>
      <c r="Y11" s="39">
        <v>-272.04410000000001</v>
      </c>
      <c r="Z11" s="39">
        <v>-249.53210000000001</v>
      </c>
      <c r="AA11" s="39">
        <v>-825.50319999999999</v>
      </c>
      <c r="AB11" s="39">
        <v>-825.50319999999999</v>
      </c>
      <c r="AC11" s="39">
        <v>0</v>
      </c>
    </row>
    <row r="12" spans="1:30" x14ac:dyDescent="0.25">
      <c r="B12" s="30" t="s">
        <v>102</v>
      </c>
      <c r="C12" s="42">
        <f t="shared" ref="C12:H12" si="0">C4*LN($A$24)+C5*$A$24+C6*$A$24^2/2+C7/3*$A$24^3-C8/2/$A$24^2+C10</f>
        <v>188.83526916557543</v>
      </c>
      <c r="D12" s="42">
        <f>D4*LN($A$24)+D5*$A$24+D6*$A$24^2/2+D7/3*$A$24^3-D8/2/$A$24^2+D10</f>
        <v>69.953643240262238</v>
      </c>
      <c r="E12" s="42">
        <f t="shared" si="0"/>
        <v>186.25470110136666</v>
      </c>
      <c r="F12" s="42">
        <f t="shared" si="0"/>
        <v>197.66288408714843</v>
      </c>
      <c r="G12" s="42">
        <f t="shared" si="0"/>
        <v>213.78763413722717</v>
      </c>
      <c r="H12" s="42">
        <f t="shared" si="0"/>
        <v>130.68015006646857</v>
      </c>
      <c r="I12" s="42">
        <f>H12</f>
        <v>130.68015006646857</v>
      </c>
      <c r="J12" s="42">
        <v>191.61</v>
      </c>
      <c r="K12" s="42">
        <v>205.15199999999999</v>
      </c>
      <c r="L12" s="42">
        <v>41.59</v>
      </c>
      <c r="M12" s="37">
        <v>43.066400000000002</v>
      </c>
      <c r="N12" s="37">
        <v>43.066400000000002</v>
      </c>
      <c r="O12" s="42">
        <v>45.51</v>
      </c>
      <c r="P12" s="42">
        <v>154.887</v>
      </c>
      <c r="Q12" s="42">
        <f>Q4*LN($A$24)+Q5*$A$24+Q6*$A$24^2/2+Q7/3*$A$24^3-Q8/2/$A$24^2+Q10</f>
        <v>38.191689205589682</v>
      </c>
      <c r="R12" s="42">
        <v>241.96799999999999</v>
      </c>
      <c r="S12" s="42">
        <v>241.96799999999999</v>
      </c>
      <c r="T12" s="42">
        <f>T4*LN($A$24)+T5*$A$24+T6*$A$24^2/2+T7/3*$A$24^3-T8/2/$A$24^2+T10</f>
        <v>167.82925162475198</v>
      </c>
      <c r="U12" s="42">
        <f>U4*LN($A$24)+U5*$A$24+U6*$A$24^2/2+U7/3*$A$24^3-U8/2/$A$24^2+U10</f>
        <v>248.21040240573984</v>
      </c>
      <c r="V12" s="42">
        <v>248.21040240573984</v>
      </c>
      <c r="W12" s="42">
        <f>W4*LN($A$24)+W5*$A$24+W6*$A$24^2/2+W7/3*$A$24^3-W8/2/$A$24^2+W10</f>
        <v>0</v>
      </c>
      <c r="X12" s="42">
        <f>X4*LN($A$24)+X5*$A$24+X6*$A$24^2/2+X7/3*$A$24^3-X8/2/$A$24^2+X10</f>
        <v>205.76801703027229</v>
      </c>
      <c r="Y12" s="43">
        <v>60.75</v>
      </c>
      <c r="Z12" s="43">
        <v>75.400000000000006</v>
      </c>
      <c r="AA12" s="44">
        <v>87.332099999999997</v>
      </c>
      <c r="AB12" s="44">
        <v>87.332099999999997</v>
      </c>
      <c r="AC12">
        <v>27.32</v>
      </c>
    </row>
    <row r="13" spans="1:30" ht="45" x14ac:dyDescent="0.25">
      <c r="B13" s="41" t="s">
        <v>123</v>
      </c>
      <c r="C13" s="52">
        <v>9.5</v>
      </c>
      <c r="D13" s="52">
        <v>0.9</v>
      </c>
      <c r="E13" s="52">
        <v>831.65</v>
      </c>
      <c r="F13" s="52">
        <v>275.10000000000002</v>
      </c>
      <c r="G13" s="52">
        <v>19.87</v>
      </c>
      <c r="H13" s="52">
        <v>236.1</v>
      </c>
      <c r="I13" s="52">
        <v>236.1</v>
      </c>
      <c r="J13" s="52">
        <v>0.72</v>
      </c>
      <c r="K13" s="52">
        <v>3.97</v>
      </c>
      <c r="L13" s="52">
        <v>712.4</v>
      </c>
      <c r="M13" s="52">
        <v>712.4</v>
      </c>
      <c r="N13" s="52">
        <v>712.4</v>
      </c>
      <c r="O13" s="54">
        <v>0</v>
      </c>
      <c r="P13" s="54">
        <v>0</v>
      </c>
      <c r="Q13" s="55">
        <v>110.89100000000001</v>
      </c>
      <c r="R13" s="52">
        <v>410.26</v>
      </c>
      <c r="S13" s="52">
        <v>410.26</v>
      </c>
      <c r="T13" s="52">
        <v>609.6</v>
      </c>
      <c r="U13" s="52">
        <v>313.39999999999998</v>
      </c>
      <c r="V13" s="52">
        <v>313.39999999999998</v>
      </c>
      <c r="W13" s="55">
        <v>16.3</v>
      </c>
      <c r="X13" s="52">
        <v>812</v>
      </c>
      <c r="Y13" s="55">
        <v>124.9</v>
      </c>
      <c r="Z13" s="55">
        <v>124.9</v>
      </c>
      <c r="AA13" s="55">
        <v>12.4</v>
      </c>
      <c r="AB13" s="55">
        <v>12.4</v>
      </c>
      <c r="AC13" s="55">
        <v>376.4</v>
      </c>
    </row>
    <row r="14" spans="1:30" x14ac:dyDescent="0.25">
      <c r="B14" s="30"/>
    </row>
    <row r="15" spans="1:30" x14ac:dyDescent="0.25">
      <c r="A15" t="s">
        <v>39</v>
      </c>
    </row>
    <row r="16" spans="1:30" ht="17.25" x14ac:dyDescent="0.25">
      <c r="A16" t="s">
        <v>38</v>
      </c>
      <c r="B16" s="30" t="s">
        <v>2</v>
      </c>
      <c r="C16" s="33">
        <v>0</v>
      </c>
      <c r="D16" s="33">
        <v>0</v>
      </c>
      <c r="E16" s="33">
        <v>1</v>
      </c>
      <c r="F16" s="33">
        <v>1</v>
      </c>
      <c r="G16" s="33">
        <v>1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1</v>
      </c>
      <c r="S16" s="33">
        <v>1</v>
      </c>
      <c r="T16" s="33">
        <v>0</v>
      </c>
      <c r="U16" s="33">
        <v>0</v>
      </c>
      <c r="V16" s="33">
        <v>0</v>
      </c>
      <c r="W16" s="33">
        <v>1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</row>
    <row r="17" spans="1:29" x14ac:dyDescent="0.25">
      <c r="A17" s="31" t="s">
        <v>44</v>
      </c>
      <c r="B17" s="30" t="s">
        <v>45</v>
      </c>
      <c r="C17" s="33">
        <v>1</v>
      </c>
      <c r="D17" s="33">
        <v>1</v>
      </c>
      <c r="E17" s="33">
        <v>0</v>
      </c>
      <c r="F17" s="33">
        <v>1</v>
      </c>
      <c r="G17" s="33">
        <v>2</v>
      </c>
      <c r="H17" s="33">
        <v>0</v>
      </c>
      <c r="I17" s="33">
        <v>0</v>
      </c>
      <c r="J17" s="33">
        <v>0</v>
      </c>
      <c r="K17" s="33">
        <v>2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1</v>
      </c>
      <c r="R17" s="33">
        <v>0</v>
      </c>
      <c r="S17" s="33">
        <v>0</v>
      </c>
      <c r="T17" s="33">
        <v>0</v>
      </c>
      <c r="U17" s="33">
        <v>2</v>
      </c>
      <c r="V17" s="33">
        <v>2</v>
      </c>
      <c r="W17" s="33">
        <v>3</v>
      </c>
      <c r="X17" s="33">
        <v>0</v>
      </c>
      <c r="Y17" s="33">
        <v>1</v>
      </c>
      <c r="Z17" s="33">
        <v>1</v>
      </c>
      <c r="AA17" s="33">
        <v>3</v>
      </c>
      <c r="AB17" s="33">
        <v>3</v>
      </c>
      <c r="AC17" s="33">
        <v>0</v>
      </c>
    </row>
    <row r="18" spans="1:29" x14ac:dyDescent="0.25">
      <c r="B18" s="30" t="s">
        <v>7</v>
      </c>
      <c r="C18" s="33">
        <v>2</v>
      </c>
      <c r="D18" s="33">
        <v>2</v>
      </c>
      <c r="E18" s="33">
        <v>4</v>
      </c>
      <c r="F18" s="33">
        <v>0</v>
      </c>
      <c r="G18" s="33">
        <v>0</v>
      </c>
      <c r="H18" s="33">
        <v>2</v>
      </c>
      <c r="I18" s="33">
        <v>2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2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</row>
    <row r="19" spans="1:29" x14ac:dyDescent="0.25">
      <c r="B19" s="30" t="s">
        <v>46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2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</row>
    <row r="20" spans="1:29" x14ac:dyDescent="0.25">
      <c r="B20" s="30" t="s">
        <v>47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1</v>
      </c>
      <c r="U20" s="33">
        <v>1</v>
      </c>
      <c r="V20" s="33">
        <v>1</v>
      </c>
      <c r="W20" s="33">
        <v>0</v>
      </c>
      <c r="X20" s="33">
        <v>1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</row>
    <row r="21" spans="1:29" x14ac:dyDescent="0.25">
      <c r="B21" s="30" t="s">
        <v>48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1</v>
      </c>
      <c r="M21" s="33">
        <v>1</v>
      </c>
      <c r="N21" s="33">
        <v>1</v>
      </c>
      <c r="O21" s="33">
        <v>1</v>
      </c>
      <c r="P21" s="33">
        <v>1</v>
      </c>
      <c r="Q21" s="33">
        <v>1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1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</row>
    <row r="22" spans="1:29" x14ac:dyDescent="0.25">
      <c r="B22" s="30" t="s">
        <v>50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1</v>
      </c>
      <c r="Z22" s="33">
        <v>1</v>
      </c>
      <c r="AA22" s="33">
        <v>2</v>
      </c>
      <c r="AB22" s="33">
        <v>2</v>
      </c>
      <c r="AC22" s="33">
        <v>1</v>
      </c>
    </row>
    <row r="24" spans="1:29" x14ac:dyDescent="0.25">
      <c r="A24">
        <f>298.15/1000</f>
        <v>0.29814999999999997</v>
      </c>
      <c r="B24" s="30" t="s">
        <v>37</v>
      </c>
    </row>
    <row r="25" spans="1:29" ht="15.75" thickBot="1" x14ac:dyDescent="0.3"/>
    <row r="26" spans="1:29" x14ac:dyDescent="0.25">
      <c r="J26" s="24"/>
    </row>
    <row r="30" spans="1:29" x14ac:dyDescent="0.25">
      <c r="A30">
        <f>0.7507</f>
        <v>0.75070000000000003</v>
      </c>
      <c r="B30" t="s">
        <v>21</v>
      </c>
      <c r="C30">
        <f>A30/$A$36</f>
        <v>0.79104320337197054</v>
      </c>
      <c r="E30">
        <f>A30*$J$11</f>
        <v>0</v>
      </c>
    </row>
    <row r="31" spans="1:29" x14ac:dyDescent="0.25">
      <c r="A31">
        <f>0.1372</f>
        <v>0.13719999999999999</v>
      </c>
      <c r="B31" t="s">
        <v>23</v>
      </c>
      <c r="C31">
        <f>A31/$A$36</f>
        <v>0.14457323498419389</v>
      </c>
      <c r="E31">
        <f>A31*$K$11</f>
        <v>0</v>
      </c>
    </row>
    <row r="32" spans="1:29" x14ac:dyDescent="0.25">
      <c r="A32">
        <f>0.0314</f>
        <v>3.1399999999999997E-2</v>
      </c>
      <c r="B32" t="s">
        <v>16</v>
      </c>
      <c r="C32">
        <f>A32/$A$36</f>
        <v>3.3087460484720756E-2</v>
      </c>
      <c r="E32">
        <f>A32*$G$11</f>
        <v>-12.356603359999999</v>
      </c>
    </row>
    <row r="33" spans="1:6" x14ac:dyDescent="0.25">
      <c r="A33">
        <f>0.0297</f>
        <v>2.9700000000000001E-2</v>
      </c>
      <c r="B33" t="s">
        <v>40</v>
      </c>
      <c r="C33">
        <f>A33/$A$36</f>
        <v>3.129610115911486E-2</v>
      </c>
      <c r="E33">
        <f>A33*$C$11</f>
        <v>-7.1822440800000003</v>
      </c>
    </row>
    <row r="34" spans="1:6" x14ac:dyDescent="0.25">
      <c r="A34">
        <v>5.0999999999999997E-2</v>
      </c>
      <c r="B34" t="s">
        <v>41</v>
      </c>
      <c r="E34">
        <f>A34*$D$11</f>
        <v>-14.577350399999998</v>
      </c>
    </row>
    <row r="35" spans="1:6" x14ac:dyDescent="0.25">
      <c r="A35">
        <f>SUM(A30:A34)</f>
        <v>1</v>
      </c>
      <c r="E35">
        <f>SUM(E30:E34)</f>
        <v>-34.116197839999998</v>
      </c>
      <c r="F35" t="s">
        <v>43</v>
      </c>
    </row>
    <row r="36" spans="1:6" x14ac:dyDescent="0.25">
      <c r="A36">
        <f>SUM(A30:A33)</f>
        <v>0.94899999999999995</v>
      </c>
      <c r="E36">
        <f>E35*1000</f>
        <v>-34116.197840000001</v>
      </c>
      <c r="F36" t="s">
        <v>42</v>
      </c>
    </row>
  </sheetData>
  <mergeCells count="2">
    <mergeCell ref="A4:A11"/>
    <mergeCell ref="C1:X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Chemical exergy reference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Tallinus</dc:creator>
  <cp:lastModifiedBy>Alberto Cardone</cp:lastModifiedBy>
  <dcterms:created xsi:type="dcterms:W3CDTF">2019-05-23T11:47:38Z</dcterms:created>
  <dcterms:modified xsi:type="dcterms:W3CDTF">2022-11-09T14:58:55Z</dcterms:modified>
</cp:coreProperties>
</file>