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ertguillemette/Desktop/Été 2023/Été 2024/LFP_ANALYSIS FOR BEGINNERS/"/>
    </mc:Choice>
  </mc:AlternateContent>
  <xr:revisionPtr revIDLastSave="0" documentId="13_ncr:1_{58D95161-2E80-8444-A9F6-61DF75F4293F}" xr6:coauthVersionLast="47" xr6:coauthVersionMax="47" xr10:uidLastSave="{00000000-0000-0000-0000-000000000000}"/>
  <bookViews>
    <workbookView xWindow="0" yWindow="500" windowWidth="28800" windowHeight="16260" xr2:uid="{85439675-4192-4E92-A585-3C21172FB456}"/>
  </bookViews>
  <sheets>
    <sheet name="Sheet1" sheetId="1" r:id="rId1"/>
  </sheets>
  <definedNames>
    <definedName name="_xlnm._FilterDatabase" localSheetId="0" hidden="1">Sheet1!$A$1:$M$65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52" i="1"/>
  <c r="L52" i="1" s="1"/>
  <c r="K51" i="1"/>
  <c r="L51" i="1" s="1"/>
  <c r="J62" i="1"/>
  <c r="J64" i="1"/>
  <c r="J65" i="1"/>
  <c r="J53" i="1"/>
  <c r="J54" i="1"/>
  <c r="J55" i="1"/>
  <c r="J56" i="1"/>
  <c r="J57" i="1"/>
  <c r="J58" i="1"/>
  <c r="J59" i="1"/>
  <c r="J60" i="1"/>
  <c r="J61" i="1"/>
  <c r="J63" i="1"/>
  <c r="J44" i="1"/>
  <c r="J52" i="1"/>
  <c r="J36" i="1"/>
  <c r="K35" i="1"/>
  <c r="K36" i="1" s="1"/>
  <c r="J49" i="1"/>
  <c r="J37" i="1"/>
  <c r="J38" i="1"/>
  <c r="J39" i="1"/>
  <c r="J40" i="1"/>
  <c r="J41" i="1"/>
  <c r="J42" i="1"/>
  <c r="J43" i="1"/>
  <c r="J45" i="1"/>
  <c r="J46" i="1"/>
  <c r="J47" i="1"/>
  <c r="J48" i="1"/>
  <c r="J24" i="1"/>
  <c r="K19" i="1"/>
  <c r="L19" i="1" s="1"/>
  <c r="J32" i="1"/>
  <c r="J21" i="1"/>
  <c r="J22" i="1"/>
  <c r="J23" i="1"/>
  <c r="J25" i="1"/>
  <c r="J26" i="1"/>
  <c r="J27" i="1"/>
  <c r="J28" i="1"/>
  <c r="J29" i="1"/>
  <c r="J30" i="1"/>
  <c r="J31" i="1"/>
  <c r="J33" i="1"/>
  <c r="J20" i="1"/>
  <c r="J15" i="1"/>
  <c r="J4" i="1"/>
  <c r="J11" i="1"/>
  <c r="J5" i="1"/>
  <c r="K3" i="1"/>
  <c r="L3" i="1" s="1"/>
  <c r="K53" i="1" l="1"/>
  <c r="K54" i="1" s="1"/>
  <c r="L35" i="1"/>
  <c r="L36" i="1"/>
  <c r="K37" i="1"/>
  <c r="K55" i="1"/>
  <c r="L54" i="1"/>
  <c r="K20" i="1"/>
  <c r="L20" i="1" s="1"/>
  <c r="K4" i="1"/>
  <c r="L4" i="1" s="1"/>
  <c r="K21" i="1"/>
  <c r="L53" i="1" l="1"/>
  <c r="L37" i="1"/>
  <c r="K38" i="1"/>
  <c r="L55" i="1"/>
  <c r="K56" i="1"/>
  <c r="L21" i="1"/>
  <c r="K22" i="1"/>
  <c r="K5" i="1"/>
  <c r="L56" i="1" l="1"/>
  <c r="K57" i="1"/>
  <c r="L38" i="1"/>
  <c r="K39" i="1"/>
  <c r="K23" i="1"/>
  <c r="L22" i="1"/>
  <c r="L5" i="1"/>
  <c r="K6" i="1"/>
  <c r="L57" i="1" l="1"/>
  <c r="K58" i="1"/>
  <c r="K40" i="1"/>
  <c r="L39" i="1"/>
  <c r="L6" i="1"/>
  <c r="K7" i="1"/>
  <c r="K24" i="1"/>
  <c r="L23" i="1"/>
  <c r="L40" i="1" l="1"/>
  <c r="K41" i="1"/>
  <c r="K59" i="1"/>
  <c r="L58" i="1"/>
  <c r="K25" i="1"/>
  <c r="L24" i="1"/>
  <c r="L7" i="1"/>
  <c r="K8" i="1"/>
  <c r="L59" i="1" l="1"/>
  <c r="K60" i="1"/>
  <c r="L41" i="1"/>
  <c r="K42" i="1"/>
  <c r="K9" i="1"/>
  <c r="L8" i="1"/>
  <c r="K26" i="1"/>
  <c r="L25" i="1"/>
  <c r="L60" i="1" l="1"/>
  <c r="K61" i="1"/>
  <c r="L42" i="1"/>
  <c r="K43" i="1"/>
  <c r="K27" i="1"/>
  <c r="L26" i="1"/>
  <c r="K10" i="1"/>
  <c r="L9" i="1"/>
  <c r="K44" i="1" l="1"/>
  <c r="L43" i="1"/>
  <c r="L61" i="1"/>
  <c r="K62" i="1"/>
  <c r="K11" i="1"/>
  <c r="L10" i="1"/>
  <c r="L27" i="1"/>
  <c r="K28" i="1"/>
  <c r="J17" i="1"/>
  <c r="J7" i="1"/>
  <c r="J8" i="1"/>
  <c r="J9" i="1"/>
  <c r="J10" i="1"/>
  <c r="J12" i="1"/>
  <c r="J13" i="1"/>
  <c r="J14" i="1"/>
  <c r="J16" i="1"/>
  <c r="K63" i="1" l="1"/>
  <c r="L62" i="1"/>
  <c r="L44" i="1"/>
  <c r="K45" i="1"/>
  <c r="K29" i="1"/>
  <c r="L28" i="1"/>
  <c r="K12" i="1"/>
  <c r="L11" i="1"/>
  <c r="L45" i="1" l="1"/>
  <c r="K46" i="1"/>
  <c r="L63" i="1"/>
  <c r="K64" i="1"/>
  <c r="K13" i="1"/>
  <c r="L12" i="1"/>
  <c r="L29" i="1"/>
  <c r="K30" i="1"/>
  <c r="K47" i="1" l="1"/>
  <c r="L46" i="1"/>
  <c r="K65" i="1"/>
  <c r="L65" i="1" s="1"/>
  <c r="L64" i="1"/>
  <c r="L30" i="1"/>
  <c r="K31" i="1"/>
  <c r="K14" i="1"/>
  <c r="L13" i="1"/>
  <c r="L47" i="1" l="1"/>
  <c r="K48" i="1"/>
  <c r="L14" i="1"/>
  <c r="K15" i="1"/>
  <c r="L31" i="1"/>
  <c r="K32" i="1"/>
  <c r="L48" i="1" l="1"/>
  <c r="K49" i="1"/>
  <c r="L49" i="1" s="1"/>
  <c r="K33" i="1"/>
  <c r="L33" i="1" s="1"/>
  <c r="L32" i="1"/>
  <c r="L15" i="1"/>
  <c r="K16" i="1"/>
  <c r="K17" i="1" l="1"/>
  <c r="L17" i="1" s="1"/>
  <c r="L16" i="1"/>
</calcChain>
</file>

<file path=xl/sharedStrings.xml><?xml version="1.0" encoding="utf-8"?>
<sst xmlns="http://schemas.openxmlformats.org/spreadsheetml/2006/main" count="481" uniqueCount="45">
  <si>
    <t>Event</t>
  </si>
  <si>
    <t>UTC</t>
  </si>
  <si>
    <t>T1</t>
  </si>
  <si>
    <t>T2</t>
  </si>
  <si>
    <t>T3</t>
  </si>
  <si>
    <t>T4</t>
  </si>
  <si>
    <t>T5</t>
  </si>
  <si>
    <t>T6</t>
  </si>
  <si>
    <t>T7</t>
  </si>
  <si>
    <t>DBS_start</t>
  </si>
  <si>
    <t>TSA_start</t>
  </si>
  <si>
    <t>T8</t>
  </si>
  <si>
    <t>T9</t>
  </si>
  <si>
    <t>T10</t>
  </si>
  <si>
    <t>T11</t>
  </si>
  <si>
    <t>T12</t>
  </si>
  <si>
    <t>T13</t>
  </si>
  <si>
    <t>T14</t>
  </si>
  <si>
    <t>STN_side</t>
  </si>
  <si>
    <t>Hot</t>
  </si>
  <si>
    <t>Cold</t>
  </si>
  <si>
    <t>Test_number</t>
  </si>
  <si>
    <t>Arm_side</t>
  </si>
  <si>
    <t>Condition_file_name</t>
  </si>
  <si>
    <t>DBS_samples</t>
  </si>
  <si>
    <t>DBS_ms</t>
  </si>
  <si>
    <t>Left</t>
  </si>
  <si>
    <t>Right</t>
  </si>
  <si>
    <t>Off</t>
  </si>
  <si>
    <t>LEFT_STN_OFF</t>
  </si>
  <si>
    <t>N/A</t>
  </si>
  <si>
    <t>RIGHT_STN_OFF</t>
  </si>
  <si>
    <t>On</t>
  </si>
  <si>
    <t>LEFT_STN_ON</t>
  </si>
  <si>
    <t>RIGHT_STN_ON</t>
  </si>
  <si>
    <t>Experiment_1</t>
  </si>
  <si>
    <t>Experiment_2</t>
  </si>
  <si>
    <t>Experiment_3</t>
  </si>
  <si>
    <t>Experiment_4</t>
  </si>
  <si>
    <t>Experiment_name</t>
  </si>
  <si>
    <t>Corresponding_row_in_json</t>
  </si>
  <si>
    <t>DBS_stim_state</t>
  </si>
  <si>
    <t>Event_triggers_ms</t>
  </si>
  <si>
    <t>Experiment_start</t>
  </si>
  <si>
    <t>Additionnal_experimental_encoder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</si>
</sst>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1" fontId="1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3E1E-5733-4A55-B7BD-5E48953F349B}">
  <dimension ref="A1:M65"/>
  <sheetViews>
    <sheetView tabSelected="1" zoomScale="119" zoomScaleNormal="110" workbookViewId="0">
      <pane ySplit="1" topLeftCell="A2" activePane="bottomLeft" state="frozen"/>
      <selection pane="bottomLeft" activeCell="C1" sqref="C1"/>
    </sheetView>
  </sheetViews>
  <sheetFormatPr baseColWidth="10" defaultColWidth="8.83203125" defaultRowHeight="15" x14ac:dyDescent="0.2"/>
  <cols>
    <col min="1" max="1" width="35.5" customWidth="1"/>
    <col min="2" max="2" width="10" customWidth="1"/>
    <col min="3" max="3" width="13.5" customWidth="1"/>
    <col min="4" max="6" width="11.33203125" customWidth="1"/>
    <col min="7" max="7" width="12.83203125" customWidth="1"/>
    <col min="8" max="8" width="17.83203125" customWidth="1"/>
    <col min="10" max="10" width="14.5" customWidth="1"/>
    <col min="11" max="11" width="13.83203125" customWidth="1"/>
    <col min="12" max="12" width="11.83203125" customWidth="1"/>
    <col min="13" max="13" width="18" customWidth="1"/>
    <col min="15" max="15" width="8.83203125" customWidth="1"/>
  </cols>
  <sheetData>
    <row r="1" spans="1:13" x14ac:dyDescent="0.2">
      <c r="A1" t="s">
        <v>39</v>
      </c>
      <c r="B1" t="s">
        <v>21</v>
      </c>
      <c r="C1" t="s">
        <v>40</v>
      </c>
      <c r="D1" t="s">
        <v>18</v>
      </c>
      <c r="E1" t="s">
        <v>22</v>
      </c>
      <c r="F1" t="s">
        <v>41</v>
      </c>
      <c r="G1" t="s">
        <v>44</v>
      </c>
      <c r="H1" s="1" t="s">
        <v>23</v>
      </c>
      <c r="I1" s="1" t="s">
        <v>0</v>
      </c>
      <c r="J1" s="1" t="s">
        <v>1</v>
      </c>
      <c r="K1" s="4" t="s">
        <v>24</v>
      </c>
      <c r="L1" s="4" t="s">
        <v>25</v>
      </c>
      <c r="M1" s="1" t="s">
        <v>42</v>
      </c>
    </row>
    <row r="2" spans="1:13" x14ac:dyDescent="0.2">
      <c r="A2" s="7" t="s">
        <v>35</v>
      </c>
      <c r="B2" t="s">
        <v>30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s="1" t="s">
        <v>9</v>
      </c>
      <c r="J2" s="2">
        <v>0.49460648148148151</v>
      </c>
      <c r="K2" s="1">
        <v>0</v>
      </c>
      <c r="L2">
        <v>0</v>
      </c>
      <c r="M2" t="s">
        <v>30</v>
      </c>
    </row>
    <row r="3" spans="1:13" x14ac:dyDescent="0.2">
      <c r="A3" s="7" t="s">
        <v>35</v>
      </c>
      <c r="B3" t="s">
        <v>30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s="1" t="s">
        <v>43</v>
      </c>
      <c r="J3" s="2">
        <v>0.49504629629629632</v>
      </c>
      <c r="K3" s="6">
        <f>(52-14)*250</f>
        <v>9500</v>
      </c>
      <c r="L3">
        <f>K3/250*1000</f>
        <v>38000</v>
      </c>
      <c r="M3" s="1">
        <v>0</v>
      </c>
    </row>
    <row r="4" spans="1:13" x14ac:dyDescent="0.2">
      <c r="A4" s="7" t="s">
        <v>35</v>
      </c>
      <c r="B4">
        <v>1</v>
      </c>
      <c r="C4">
        <v>1</v>
      </c>
      <c r="D4" t="s">
        <v>26</v>
      </c>
      <c r="E4" t="s">
        <v>27</v>
      </c>
      <c r="F4" t="s">
        <v>28</v>
      </c>
      <c r="G4" t="s">
        <v>19</v>
      </c>
      <c r="H4" s="1" t="s">
        <v>29</v>
      </c>
      <c r="I4" s="1" t="s">
        <v>2</v>
      </c>
      <c r="J4" s="2">
        <f>$J$3+M4/1000/86400</f>
        <v>0.49519212962962966</v>
      </c>
      <c r="K4" s="6">
        <f>K3+(8+5)*250</f>
        <v>12750</v>
      </c>
      <c r="L4">
        <f>K4/250*1000</f>
        <v>51000</v>
      </c>
      <c r="M4" s="5">
        <v>12600</v>
      </c>
    </row>
    <row r="5" spans="1:13" x14ac:dyDescent="0.2">
      <c r="A5" s="7" t="s">
        <v>35</v>
      </c>
      <c r="B5">
        <v>1</v>
      </c>
      <c r="C5">
        <v>1</v>
      </c>
      <c r="D5" t="s">
        <v>26</v>
      </c>
      <c r="E5" t="s">
        <v>27</v>
      </c>
      <c r="F5" t="s">
        <v>28</v>
      </c>
      <c r="G5" t="s">
        <v>19</v>
      </c>
      <c r="H5" s="1" t="s">
        <v>29</v>
      </c>
      <c r="I5" s="1" t="s">
        <v>3</v>
      </c>
      <c r="J5" s="2">
        <f>$J$3+M5/1000/86400</f>
        <v>0.49552215277777778</v>
      </c>
      <c r="K5" s="6">
        <f>K4+(33-5)*250</f>
        <v>19750</v>
      </c>
      <c r="L5">
        <f t="shared" ref="L5:L16" si="0">K5/250*1000</f>
        <v>79000</v>
      </c>
      <c r="M5" s="5">
        <v>41114</v>
      </c>
    </row>
    <row r="6" spans="1:13" x14ac:dyDescent="0.2">
      <c r="A6" s="7" t="s">
        <v>35</v>
      </c>
      <c r="B6">
        <v>1</v>
      </c>
      <c r="C6">
        <v>1</v>
      </c>
      <c r="D6" t="s">
        <v>26</v>
      </c>
      <c r="E6" t="s">
        <v>27</v>
      </c>
      <c r="F6" t="s">
        <v>28</v>
      </c>
      <c r="G6" t="s">
        <v>19</v>
      </c>
      <c r="H6" s="1" t="s">
        <v>29</v>
      </c>
      <c r="I6" s="1" t="s">
        <v>4</v>
      </c>
      <c r="J6" s="2">
        <f>$J$3+M6/1000/86400</f>
        <v>0.49581917824074079</v>
      </c>
      <c r="K6" s="6">
        <f>K5+(59-33)*250</f>
        <v>26250</v>
      </c>
      <c r="L6">
        <f t="shared" si="0"/>
        <v>105000</v>
      </c>
      <c r="M6" s="5">
        <v>66777</v>
      </c>
    </row>
    <row r="7" spans="1:13" x14ac:dyDescent="0.2">
      <c r="A7" s="7" t="s">
        <v>35</v>
      </c>
      <c r="B7">
        <v>1</v>
      </c>
      <c r="C7">
        <v>1</v>
      </c>
      <c r="D7" t="s">
        <v>26</v>
      </c>
      <c r="E7" t="s">
        <v>27</v>
      </c>
      <c r="F7" t="s">
        <v>28</v>
      </c>
      <c r="G7" t="s">
        <v>19</v>
      </c>
      <c r="H7" s="1" t="s">
        <v>29</v>
      </c>
      <c r="I7" s="1" t="s">
        <v>5</v>
      </c>
      <c r="J7" s="2">
        <f t="shared" ref="J7:J16" si="1">$J$3+M7/1000/86400</f>
        <v>0.49616762731481484</v>
      </c>
      <c r="K7" s="6">
        <f>K6+(29+1)*250</f>
        <v>33750</v>
      </c>
      <c r="L7">
        <f t="shared" si="0"/>
        <v>135000</v>
      </c>
      <c r="M7" s="5">
        <v>96883</v>
      </c>
    </row>
    <row r="8" spans="1:13" x14ac:dyDescent="0.2">
      <c r="A8" s="7" t="s">
        <v>35</v>
      </c>
      <c r="B8">
        <v>1</v>
      </c>
      <c r="C8">
        <v>1</v>
      </c>
      <c r="D8" t="s">
        <v>26</v>
      </c>
      <c r="E8" t="s">
        <v>27</v>
      </c>
      <c r="F8" t="s">
        <v>28</v>
      </c>
      <c r="G8" t="s">
        <v>19</v>
      </c>
      <c r="H8" s="1" t="s">
        <v>29</v>
      </c>
      <c r="I8" s="1" t="s">
        <v>6</v>
      </c>
      <c r="J8" s="2">
        <f t="shared" si="1"/>
        <v>0.4965277662037037</v>
      </c>
      <c r="K8" s="6">
        <f>K7+(60-29)*250</f>
        <v>41500</v>
      </c>
      <c r="L8">
        <f t="shared" si="0"/>
        <v>166000</v>
      </c>
      <c r="M8" s="5">
        <v>127999</v>
      </c>
    </row>
    <row r="9" spans="1:13" x14ac:dyDescent="0.2">
      <c r="A9" s="7" t="s">
        <v>35</v>
      </c>
      <c r="B9">
        <v>1</v>
      </c>
      <c r="C9">
        <v>1</v>
      </c>
      <c r="D9" t="s">
        <v>26</v>
      </c>
      <c r="E9" t="s">
        <v>27</v>
      </c>
      <c r="F9" t="s">
        <v>28</v>
      </c>
      <c r="G9" t="s">
        <v>19</v>
      </c>
      <c r="H9" s="1" t="s">
        <v>29</v>
      </c>
      <c r="I9" s="1" t="s">
        <v>7</v>
      </c>
      <c r="J9" s="2">
        <f t="shared" si="1"/>
        <v>0.49687188657407411</v>
      </c>
      <c r="K9" s="6">
        <f>K8+(30)*250</f>
        <v>49000</v>
      </c>
      <c r="L9">
        <f t="shared" si="0"/>
        <v>196000</v>
      </c>
      <c r="M9" s="5">
        <v>157731</v>
      </c>
    </row>
    <row r="10" spans="1:13" x14ac:dyDescent="0.2">
      <c r="A10" s="7" t="s">
        <v>35</v>
      </c>
      <c r="B10">
        <v>1</v>
      </c>
      <c r="C10">
        <v>1</v>
      </c>
      <c r="D10" t="s">
        <v>26</v>
      </c>
      <c r="E10" t="s">
        <v>27</v>
      </c>
      <c r="F10" t="s">
        <v>28</v>
      </c>
      <c r="G10" t="s">
        <v>19</v>
      </c>
      <c r="H10" s="1" t="s">
        <v>29</v>
      </c>
      <c r="I10" s="1" t="s">
        <v>8</v>
      </c>
      <c r="J10" s="2">
        <f t="shared" si="1"/>
        <v>0.49723449074074078</v>
      </c>
      <c r="K10" s="6">
        <f>K9+(1+30)*250</f>
        <v>56750</v>
      </c>
      <c r="L10">
        <f t="shared" si="0"/>
        <v>227000</v>
      </c>
      <c r="M10" s="5">
        <v>189060</v>
      </c>
    </row>
    <row r="11" spans="1:13" x14ac:dyDescent="0.2">
      <c r="A11" s="7" t="s">
        <v>35</v>
      </c>
      <c r="B11">
        <v>1</v>
      </c>
      <c r="C11">
        <v>1</v>
      </c>
      <c r="D11" t="s">
        <v>26</v>
      </c>
      <c r="E11" t="s">
        <v>27</v>
      </c>
      <c r="F11" t="s">
        <v>28</v>
      </c>
      <c r="G11" t="s">
        <v>20</v>
      </c>
      <c r="H11" s="1" t="s">
        <v>29</v>
      </c>
      <c r="I11" s="1" t="s">
        <v>11</v>
      </c>
      <c r="J11" s="2">
        <f>$J$3+M11/1000/86400</f>
        <v>0.49756144675925928</v>
      </c>
      <c r="K11" s="6">
        <f>K10+(29-1)*250</f>
        <v>63750</v>
      </c>
      <c r="L11">
        <f t="shared" si="0"/>
        <v>255000</v>
      </c>
      <c r="M11" s="5">
        <v>217309</v>
      </c>
    </row>
    <row r="12" spans="1:13" x14ac:dyDescent="0.2">
      <c r="A12" s="7" t="s">
        <v>35</v>
      </c>
      <c r="B12">
        <v>1</v>
      </c>
      <c r="C12">
        <v>1</v>
      </c>
      <c r="D12" t="s">
        <v>26</v>
      </c>
      <c r="E12" t="s">
        <v>27</v>
      </c>
      <c r="F12" t="s">
        <v>28</v>
      </c>
      <c r="G12" t="s">
        <v>20</v>
      </c>
      <c r="H12" s="1" t="s">
        <v>29</v>
      </c>
      <c r="I12" s="1" t="s">
        <v>12</v>
      </c>
      <c r="J12" s="2">
        <f t="shared" si="1"/>
        <v>0.49796285879629631</v>
      </c>
      <c r="K12" s="6">
        <f>K11+(4+31)*250</f>
        <v>72500</v>
      </c>
      <c r="L12">
        <f t="shared" si="0"/>
        <v>290000</v>
      </c>
      <c r="M12" s="5">
        <v>251991</v>
      </c>
    </row>
    <row r="13" spans="1:13" x14ac:dyDescent="0.2">
      <c r="A13" s="7" t="s">
        <v>35</v>
      </c>
      <c r="B13">
        <v>1</v>
      </c>
      <c r="C13">
        <v>1</v>
      </c>
      <c r="D13" t="s">
        <v>26</v>
      </c>
      <c r="E13" t="s">
        <v>27</v>
      </c>
      <c r="F13" t="s">
        <v>28</v>
      </c>
      <c r="G13" t="s">
        <v>20</v>
      </c>
      <c r="H13" s="1" t="s">
        <v>29</v>
      </c>
      <c r="I13" s="1" t="s">
        <v>13</v>
      </c>
      <c r="J13" s="2">
        <f t="shared" si="1"/>
        <v>0.49838483796296296</v>
      </c>
      <c r="K13" s="6">
        <f>K12+(40-4)*250</f>
        <v>81500</v>
      </c>
      <c r="L13">
        <f t="shared" si="0"/>
        <v>326000</v>
      </c>
      <c r="M13" s="5">
        <v>288450</v>
      </c>
    </row>
    <row r="14" spans="1:13" x14ac:dyDescent="0.2">
      <c r="A14" s="7" t="s">
        <v>35</v>
      </c>
      <c r="B14">
        <v>1</v>
      </c>
      <c r="C14">
        <v>1</v>
      </c>
      <c r="D14" t="s">
        <v>26</v>
      </c>
      <c r="E14" t="s">
        <v>27</v>
      </c>
      <c r="F14" t="s">
        <v>28</v>
      </c>
      <c r="G14" t="s">
        <v>20</v>
      </c>
      <c r="H14" s="1" t="s">
        <v>29</v>
      </c>
      <c r="I14" s="1" t="s">
        <v>14</v>
      </c>
      <c r="J14" s="2">
        <f t="shared" si="1"/>
        <v>0.49878767361111115</v>
      </c>
      <c r="K14" s="6">
        <f>K13+(15+20)*250</f>
        <v>90250</v>
      </c>
      <c r="L14">
        <f t="shared" si="0"/>
        <v>361000</v>
      </c>
      <c r="M14" s="5">
        <v>323255</v>
      </c>
    </row>
    <row r="15" spans="1:13" x14ac:dyDescent="0.2">
      <c r="A15" s="7" t="s">
        <v>35</v>
      </c>
      <c r="B15">
        <v>1</v>
      </c>
      <c r="C15">
        <v>1</v>
      </c>
      <c r="D15" t="s">
        <v>26</v>
      </c>
      <c r="E15" t="s">
        <v>27</v>
      </c>
      <c r="F15" t="s">
        <v>28</v>
      </c>
      <c r="G15" t="s">
        <v>20</v>
      </c>
      <c r="H15" s="1" t="s">
        <v>29</v>
      </c>
      <c r="I15" s="1" t="s">
        <v>15</v>
      </c>
      <c r="J15" s="2">
        <f>$J$3+M15/1000/86400</f>
        <v>0.49927785879629633</v>
      </c>
      <c r="K15" s="6">
        <f>K14+(58-15)*250</f>
        <v>101000</v>
      </c>
      <c r="L15">
        <f t="shared" si="0"/>
        <v>404000</v>
      </c>
      <c r="M15" s="5">
        <v>365607</v>
      </c>
    </row>
    <row r="16" spans="1:13" x14ac:dyDescent="0.2">
      <c r="A16" s="7" t="s">
        <v>35</v>
      </c>
      <c r="B16">
        <v>1</v>
      </c>
      <c r="C16">
        <v>1</v>
      </c>
      <c r="D16" t="s">
        <v>26</v>
      </c>
      <c r="E16" t="s">
        <v>27</v>
      </c>
      <c r="F16" t="s">
        <v>28</v>
      </c>
      <c r="G16" t="s">
        <v>20</v>
      </c>
      <c r="H16" s="1" t="s">
        <v>29</v>
      </c>
      <c r="I16" s="1" t="s">
        <v>16</v>
      </c>
      <c r="J16" s="2">
        <f t="shared" si="1"/>
        <v>0.4997121990740741</v>
      </c>
      <c r="K16" s="6">
        <f>K15+(35+2)*250</f>
        <v>110250</v>
      </c>
      <c r="L16">
        <f t="shared" si="0"/>
        <v>441000</v>
      </c>
      <c r="M16" s="5">
        <v>403134</v>
      </c>
    </row>
    <row r="17" spans="1:13" x14ac:dyDescent="0.2">
      <c r="A17" s="7" t="s">
        <v>35</v>
      </c>
      <c r="B17">
        <v>1</v>
      </c>
      <c r="C17">
        <v>1</v>
      </c>
      <c r="D17" t="s">
        <v>26</v>
      </c>
      <c r="E17" t="s">
        <v>27</v>
      </c>
      <c r="F17" t="s">
        <v>28</v>
      </c>
      <c r="G17" t="s">
        <v>20</v>
      </c>
      <c r="H17" s="1" t="s">
        <v>29</v>
      </c>
      <c r="I17" s="1" t="s">
        <v>17</v>
      </c>
      <c r="J17" s="2">
        <f>$J$3+M17/1000/86400</f>
        <v>0.50016773148148153</v>
      </c>
      <c r="K17" s="6">
        <f>K16+(25+14)*250</f>
        <v>120000</v>
      </c>
      <c r="L17">
        <f>K17/250*1000</f>
        <v>480000</v>
      </c>
      <c r="M17" s="5">
        <v>442492</v>
      </c>
    </row>
    <row r="18" spans="1:13" x14ac:dyDescent="0.2">
      <c r="A18" s="8" t="s">
        <v>36</v>
      </c>
      <c r="B18" t="s">
        <v>30</v>
      </c>
      <c r="C18" t="s">
        <v>30</v>
      </c>
      <c r="D18" t="s">
        <v>30</v>
      </c>
      <c r="E18" t="s">
        <v>30</v>
      </c>
      <c r="F18" t="s">
        <v>30</v>
      </c>
      <c r="G18" t="s">
        <v>30</v>
      </c>
      <c r="H18" t="s">
        <v>30</v>
      </c>
      <c r="I18" s="1" t="s">
        <v>9</v>
      </c>
      <c r="J18" s="3">
        <v>0.50181712962962965</v>
      </c>
      <c r="K18">
        <v>0</v>
      </c>
      <c r="L18">
        <v>0</v>
      </c>
      <c r="M18" t="s">
        <v>30</v>
      </c>
    </row>
    <row r="19" spans="1:13" x14ac:dyDescent="0.2">
      <c r="A19" s="8" t="s">
        <v>36</v>
      </c>
      <c r="B19" t="s">
        <v>30</v>
      </c>
      <c r="C19" t="s">
        <v>30</v>
      </c>
      <c r="D19" t="s">
        <v>30</v>
      </c>
      <c r="E19" t="s">
        <v>30</v>
      </c>
      <c r="F19" t="s">
        <v>30</v>
      </c>
      <c r="G19" t="s">
        <v>30</v>
      </c>
      <c r="H19" t="s">
        <v>30</v>
      </c>
      <c r="I19" s="1" t="s">
        <v>10</v>
      </c>
      <c r="J19" s="3">
        <v>0.50218750000000001</v>
      </c>
      <c r="K19">
        <f>(23+9)*250</f>
        <v>8000</v>
      </c>
      <c r="L19">
        <f t="shared" ref="L19:L33" si="2">K19/250*1000</f>
        <v>32000</v>
      </c>
      <c r="M19" s="5">
        <v>0</v>
      </c>
    </row>
    <row r="20" spans="1:13" x14ac:dyDescent="0.2">
      <c r="A20" s="8" t="s">
        <v>36</v>
      </c>
      <c r="B20">
        <v>2</v>
      </c>
      <c r="C20">
        <v>4</v>
      </c>
      <c r="D20" t="s">
        <v>27</v>
      </c>
      <c r="E20" t="s">
        <v>26</v>
      </c>
      <c r="F20" t="s">
        <v>28</v>
      </c>
      <c r="G20" t="s">
        <v>19</v>
      </c>
      <c r="H20" s="1" t="s">
        <v>31</v>
      </c>
      <c r="I20" s="1" t="s">
        <v>2</v>
      </c>
      <c r="J20" s="3">
        <f>$J$19+M20/1000/86400</f>
        <v>0.50256015046296298</v>
      </c>
      <c r="K20">
        <f>K19+(41-9)*250</f>
        <v>16000</v>
      </c>
      <c r="L20">
        <f t="shared" si="2"/>
        <v>64000</v>
      </c>
      <c r="M20" s="5">
        <v>32197</v>
      </c>
    </row>
    <row r="21" spans="1:13" x14ac:dyDescent="0.2">
      <c r="A21" s="8" t="s">
        <v>36</v>
      </c>
      <c r="B21">
        <v>2</v>
      </c>
      <c r="C21">
        <v>4</v>
      </c>
      <c r="D21" t="s">
        <v>27</v>
      </c>
      <c r="E21" t="s">
        <v>26</v>
      </c>
      <c r="F21" t="s">
        <v>28</v>
      </c>
      <c r="G21" t="s">
        <v>19</v>
      </c>
      <c r="H21" s="1" t="s">
        <v>31</v>
      </c>
      <c r="I21" s="1" t="s">
        <v>3</v>
      </c>
      <c r="J21" s="3">
        <f t="shared" ref="J21:J33" si="3">$J$19+M21/1000/86400</f>
        <v>0.50283239583333339</v>
      </c>
      <c r="K21">
        <f>K20+(19+5)*250</f>
        <v>22000</v>
      </c>
      <c r="L21">
        <f t="shared" si="2"/>
        <v>88000</v>
      </c>
      <c r="M21" s="5">
        <v>55719</v>
      </c>
    </row>
    <row r="22" spans="1:13" x14ac:dyDescent="0.2">
      <c r="A22" s="8" t="s">
        <v>36</v>
      </c>
      <c r="B22">
        <v>2</v>
      </c>
      <c r="C22">
        <v>4</v>
      </c>
      <c r="D22" t="s">
        <v>27</v>
      </c>
      <c r="E22" t="s">
        <v>26</v>
      </c>
      <c r="F22" t="s">
        <v>28</v>
      </c>
      <c r="G22" t="s">
        <v>19</v>
      </c>
      <c r="H22" s="1" t="s">
        <v>31</v>
      </c>
      <c r="I22" s="1" t="s">
        <v>4</v>
      </c>
      <c r="J22" s="3">
        <f t="shared" si="3"/>
        <v>0.50312903935185183</v>
      </c>
      <c r="K22">
        <f>K21+(30-5)*250</f>
        <v>28250</v>
      </c>
      <c r="L22">
        <f t="shared" si="2"/>
        <v>113000</v>
      </c>
      <c r="M22" s="5">
        <v>81349</v>
      </c>
    </row>
    <row r="23" spans="1:13" x14ac:dyDescent="0.2">
      <c r="A23" s="8" t="s">
        <v>36</v>
      </c>
      <c r="B23">
        <v>2</v>
      </c>
      <c r="C23">
        <v>4</v>
      </c>
      <c r="D23" t="s">
        <v>27</v>
      </c>
      <c r="E23" t="s">
        <v>26</v>
      </c>
      <c r="F23" t="s">
        <v>28</v>
      </c>
      <c r="G23" t="s">
        <v>19</v>
      </c>
      <c r="H23" s="1" t="s">
        <v>31</v>
      </c>
      <c r="I23" s="1" t="s">
        <v>5</v>
      </c>
      <c r="J23" s="3">
        <f t="shared" si="3"/>
        <v>0.50347572916666672</v>
      </c>
      <c r="K23">
        <f>K22+(30)*250</f>
        <v>35750</v>
      </c>
      <c r="L23">
        <f t="shared" si="2"/>
        <v>143000</v>
      </c>
      <c r="M23" s="5">
        <v>111303</v>
      </c>
    </row>
    <row r="24" spans="1:13" x14ac:dyDescent="0.2">
      <c r="A24" s="8" t="s">
        <v>36</v>
      </c>
      <c r="B24">
        <v>2</v>
      </c>
      <c r="C24">
        <v>4</v>
      </c>
      <c r="D24" t="s">
        <v>27</v>
      </c>
      <c r="E24" t="s">
        <v>26</v>
      </c>
      <c r="F24" t="s">
        <v>28</v>
      </c>
      <c r="G24" t="s">
        <v>19</v>
      </c>
      <c r="H24" s="1" t="s">
        <v>31</v>
      </c>
      <c r="I24" s="1" t="s">
        <v>6</v>
      </c>
      <c r="J24" s="3">
        <f>$J$19+M24/1000/86400</f>
        <v>0.50382211805555555</v>
      </c>
      <c r="K24">
        <f>K23+(30)*250</f>
        <v>43250</v>
      </c>
      <c r="L24">
        <f t="shared" si="2"/>
        <v>173000</v>
      </c>
      <c r="M24" s="5">
        <v>141231</v>
      </c>
    </row>
    <row r="25" spans="1:13" x14ac:dyDescent="0.2">
      <c r="A25" s="8" t="s">
        <v>36</v>
      </c>
      <c r="B25">
        <v>2</v>
      </c>
      <c r="C25">
        <v>4</v>
      </c>
      <c r="D25" t="s">
        <v>27</v>
      </c>
      <c r="E25" t="s">
        <v>26</v>
      </c>
      <c r="F25" t="s">
        <v>28</v>
      </c>
      <c r="G25" t="s">
        <v>19</v>
      </c>
      <c r="H25" s="1" t="s">
        <v>31</v>
      </c>
      <c r="I25" s="1" t="s">
        <v>7</v>
      </c>
      <c r="J25" s="3">
        <f t="shared" si="3"/>
        <v>0.50415842592592597</v>
      </c>
      <c r="K25">
        <f>K24+(59-30)*250</f>
        <v>50500</v>
      </c>
      <c r="L25">
        <f t="shared" si="2"/>
        <v>202000</v>
      </c>
      <c r="M25" s="5">
        <v>170288</v>
      </c>
    </row>
    <row r="26" spans="1:13" x14ac:dyDescent="0.2">
      <c r="A26" s="8" t="s">
        <v>36</v>
      </c>
      <c r="B26">
        <v>2</v>
      </c>
      <c r="C26">
        <v>4</v>
      </c>
      <c r="D26" t="s">
        <v>27</v>
      </c>
      <c r="E26" t="s">
        <v>26</v>
      </c>
      <c r="F26" t="s">
        <v>28</v>
      </c>
      <c r="G26" t="s">
        <v>19</v>
      </c>
      <c r="H26" s="1" t="s">
        <v>31</v>
      </c>
      <c r="I26" s="1" t="s">
        <v>8</v>
      </c>
      <c r="J26" s="3">
        <f t="shared" si="3"/>
        <v>0.5045133449074074</v>
      </c>
      <c r="K26">
        <f>K25+(30+1)*250</f>
        <v>58250</v>
      </c>
      <c r="L26">
        <f t="shared" si="2"/>
        <v>233000</v>
      </c>
      <c r="M26" s="5">
        <v>200953</v>
      </c>
    </row>
    <row r="27" spans="1:13" x14ac:dyDescent="0.2">
      <c r="A27" s="8" t="s">
        <v>36</v>
      </c>
      <c r="B27">
        <v>2</v>
      </c>
      <c r="C27">
        <v>4</v>
      </c>
      <c r="D27" t="s">
        <v>27</v>
      </c>
      <c r="E27" t="s">
        <v>26</v>
      </c>
      <c r="F27" t="s">
        <v>28</v>
      </c>
      <c r="G27" t="s">
        <v>20</v>
      </c>
      <c r="H27" s="1" t="s">
        <v>31</v>
      </c>
      <c r="I27" s="1" t="s">
        <v>11</v>
      </c>
      <c r="J27" s="3">
        <f t="shared" si="3"/>
        <v>0.50490423611111113</v>
      </c>
      <c r="K27">
        <f>K26+(4+30)*250</f>
        <v>66750</v>
      </c>
      <c r="L27">
        <f t="shared" si="2"/>
        <v>267000</v>
      </c>
      <c r="M27" s="5">
        <v>234726</v>
      </c>
    </row>
    <row r="28" spans="1:13" x14ac:dyDescent="0.2">
      <c r="A28" s="8" t="s">
        <v>36</v>
      </c>
      <c r="B28">
        <v>2</v>
      </c>
      <c r="C28">
        <v>4</v>
      </c>
      <c r="D28" t="s">
        <v>27</v>
      </c>
      <c r="E28" t="s">
        <v>26</v>
      </c>
      <c r="F28" t="s">
        <v>28</v>
      </c>
      <c r="G28" t="s">
        <v>20</v>
      </c>
      <c r="H28" s="1" t="s">
        <v>31</v>
      </c>
      <c r="I28" s="1" t="s">
        <v>12</v>
      </c>
      <c r="J28" s="3">
        <f t="shared" si="3"/>
        <v>0.50528327546296292</v>
      </c>
      <c r="K28">
        <f>K27+(36-4)*250</f>
        <v>74750</v>
      </c>
      <c r="L28">
        <f t="shared" si="2"/>
        <v>299000</v>
      </c>
      <c r="M28" s="5">
        <v>267475</v>
      </c>
    </row>
    <row r="29" spans="1:13" x14ac:dyDescent="0.2">
      <c r="A29" s="8" t="s">
        <v>36</v>
      </c>
      <c r="B29">
        <v>2</v>
      </c>
      <c r="C29">
        <v>4</v>
      </c>
      <c r="D29" t="s">
        <v>27</v>
      </c>
      <c r="E29" t="s">
        <v>26</v>
      </c>
      <c r="F29" t="s">
        <v>28</v>
      </c>
      <c r="G29" t="s">
        <v>20</v>
      </c>
      <c r="H29" s="1" t="s">
        <v>31</v>
      </c>
      <c r="I29" s="1" t="s">
        <v>13</v>
      </c>
      <c r="J29" s="3">
        <f t="shared" si="3"/>
        <v>0.50566112268518515</v>
      </c>
      <c r="K29">
        <f>K28+(24+9)*250</f>
        <v>83000</v>
      </c>
      <c r="L29">
        <f t="shared" si="2"/>
        <v>332000</v>
      </c>
      <c r="M29" s="5">
        <v>300121</v>
      </c>
    </row>
    <row r="30" spans="1:13" x14ac:dyDescent="0.2">
      <c r="A30" s="8" t="s">
        <v>36</v>
      </c>
      <c r="B30">
        <v>2</v>
      </c>
      <c r="C30">
        <v>4</v>
      </c>
      <c r="D30" t="s">
        <v>27</v>
      </c>
      <c r="E30" t="s">
        <v>26</v>
      </c>
      <c r="F30" t="s">
        <v>28</v>
      </c>
      <c r="G30" t="s">
        <v>20</v>
      </c>
      <c r="H30" s="1" t="s">
        <v>31</v>
      </c>
      <c r="I30" s="1" t="s">
        <v>14</v>
      </c>
      <c r="J30" s="3">
        <f t="shared" si="3"/>
        <v>0.50605103009259256</v>
      </c>
      <c r="K30">
        <f>K29+(43-9)*250</f>
        <v>91500</v>
      </c>
      <c r="L30">
        <f t="shared" si="2"/>
        <v>366000</v>
      </c>
      <c r="M30" s="5">
        <v>333809</v>
      </c>
    </row>
    <row r="31" spans="1:13" x14ac:dyDescent="0.2">
      <c r="A31" s="8" t="s">
        <v>36</v>
      </c>
      <c r="B31">
        <v>2</v>
      </c>
      <c r="C31">
        <v>4</v>
      </c>
      <c r="D31" t="s">
        <v>27</v>
      </c>
      <c r="E31" t="s">
        <v>26</v>
      </c>
      <c r="F31" t="s">
        <v>28</v>
      </c>
      <c r="G31" t="s">
        <v>20</v>
      </c>
      <c r="H31" s="1" t="s">
        <v>31</v>
      </c>
      <c r="I31" s="1" t="s">
        <v>15</v>
      </c>
      <c r="J31" s="3">
        <f t="shared" si="3"/>
        <v>0.5064565509259259</v>
      </c>
      <c r="K31">
        <f>K30+(18+17)*250</f>
        <v>100250</v>
      </c>
      <c r="L31">
        <f t="shared" si="2"/>
        <v>401000</v>
      </c>
      <c r="M31" s="5">
        <v>368846</v>
      </c>
    </row>
    <row r="32" spans="1:13" x14ac:dyDescent="0.2">
      <c r="A32" s="8" t="s">
        <v>36</v>
      </c>
      <c r="B32">
        <v>2</v>
      </c>
      <c r="C32">
        <v>4</v>
      </c>
      <c r="D32" t="s">
        <v>27</v>
      </c>
      <c r="E32" t="s">
        <v>26</v>
      </c>
      <c r="F32" t="s">
        <v>28</v>
      </c>
      <c r="G32" t="s">
        <v>20</v>
      </c>
      <c r="H32" s="1" t="s">
        <v>31</v>
      </c>
      <c r="I32" s="1" t="s">
        <v>16</v>
      </c>
      <c r="J32" s="3">
        <f>$J$19+M32/1000/86400</f>
        <v>0.50688184027777783</v>
      </c>
      <c r="K32">
        <f>K31+(55-18)*250</f>
        <v>109500</v>
      </c>
      <c r="L32">
        <f t="shared" si="2"/>
        <v>438000</v>
      </c>
      <c r="M32" s="5">
        <v>405591</v>
      </c>
    </row>
    <row r="33" spans="1:13" x14ac:dyDescent="0.2">
      <c r="A33" s="8" t="s">
        <v>36</v>
      </c>
      <c r="B33">
        <v>2</v>
      </c>
      <c r="C33">
        <v>4</v>
      </c>
      <c r="D33" t="s">
        <v>27</v>
      </c>
      <c r="E33" t="s">
        <v>26</v>
      </c>
      <c r="F33" t="s">
        <v>28</v>
      </c>
      <c r="G33" t="s">
        <v>20</v>
      </c>
      <c r="H33" s="1" t="s">
        <v>31</v>
      </c>
      <c r="I33" s="1" t="s">
        <v>17</v>
      </c>
      <c r="J33" s="3">
        <f t="shared" si="3"/>
        <v>0.50730854166666672</v>
      </c>
      <c r="K33">
        <f>K32+(31+5)*250</f>
        <v>118500</v>
      </c>
      <c r="L33">
        <f t="shared" si="2"/>
        <v>474000</v>
      </c>
      <c r="M33" s="5">
        <v>442458</v>
      </c>
    </row>
    <row r="34" spans="1:13" x14ac:dyDescent="0.2">
      <c r="A34" s="9" t="s">
        <v>37</v>
      </c>
      <c r="B34" t="s">
        <v>30</v>
      </c>
      <c r="C34" t="s">
        <v>30</v>
      </c>
      <c r="D34" t="s">
        <v>30</v>
      </c>
      <c r="E34" t="s">
        <v>30</v>
      </c>
      <c r="F34" t="s">
        <v>30</v>
      </c>
      <c r="G34" t="s">
        <v>30</v>
      </c>
      <c r="H34" t="s">
        <v>30</v>
      </c>
      <c r="I34" s="1" t="s">
        <v>9</v>
      </c>
      <c r="J34" s="3">
        <v>0.5091782407407407</v>
      </c>
      <c r="K34">
        <v>0</v>
      </c>
      <c r="L34">
        <v>0</v>
      </c>
      <c r="M34" t="s">
        <v>30</v>
      </c>
    </row>
    <row r="35" spans="1:13" x14ac:dyDescent="0.2">
      <c r="A35" s="9" t="s">
        <v>37</v>
      </c>
      <c r="B35" t="s">
        <v>30</v>
      </c>
      <c r="C35" t="s">
        <v>30</v>
      </c>
      <c r="D35" t="s">
        <v>30</v>
      </c>
      <c r="E35" t="s">
        <v>30</v>
      </c>
      <c r="F35" t="s">
        <v>30</v>
      </c>
      <c r="G35" t="s">
        <v>30</v>
      </c>
      <c r="H35" t="s">
        <v>30</v>
      </c>
      <c r="I35" s="1" t="s">
        <v>10</v>
      </c>
      <c r="J35" s="3">
        <v>0.50967592592592592</v>
      </c>
      <c r="K35">
        <f>(56-13)*250</f>
        <v>10750</v>
      </c>
      <c r="L35">
        <f>K35/250*1000</f>
        <v>43000</v>
      </c>
      <c r="M35" s="5">
        <v>0</v>
      </c>
    </row>
    <row r="36" spans="1:13" x14ac:dyDescent="0.2">
      <c r="A36" s="9" t="s">
        <v>37</v>
      </c>
      <c r="B36">
        <v>3</v>
      </c>
      <c r="C36">
        <v>5</v>
      </c>
      <c r="D36" t="s">
        <v>26</v>
      </c>
      <c r="E36" t="s">
        <v>27</v>
      </c>
      <c r="F36" t="s">
        <v>32</v>
      </c>
      <c r="G36" t="s">
        <v>19</v>
      </c>
      <c r="H36" s="1" t="s">
        <v>33</v>
      </c>
      <c r="I36" s="1" t="s">
        <v>2</v>
      </c>
      <c r="J36" s="3">
        <f>$J$35+M36/1000/86400</f>
        <v>0.50979011574074073</v>
      </c>
      <c r="K36">
        <f>K35+(6+4)*250</f>
        <v>13250</v>
      </c>
      <c r="L36">
        <f t="shared" ref="L36:L48" si="4">K36/250*1000</f>
        <v>53000</v>
      </c>
      <c r="M36" s="5">
        <v>9866</v>
      </c>
    </row>
    <row r="37" spans="1:13" x14ac:dyDescent="0.2">
      <c r="A37" s="9" t="s">
        <v>37</v>
      </c>
      <c r="B37">
        <v>3</v>
      </c>
      <c r="C37">
        <v>5</v>
      </c>
      <c r="D37" t="s">
        <v>26</v>
      </c>
      <c r="E37" t="s">
        <v>27</v>
      </c>
      <c r="F37" t="s">
        <v>32</v>
      </c>
      <c r="G37" t="s">
        <v>19</v>
      </c>
      <c r="H37" s="1" t="s">
        <v>33</v>
      </c>
      <c r="I37" s="1" t="s">
        <v>3</v>
      </c>
      <c r="J37" s="3">
        <f t="shared" ref="J37:J48" si="5">$J$35+M37/1000/86400</f>
        <v>0.51006087962962965</v>
      </c>
      <c r="K37">
        <f>K36+(29-6)*250</f>
        <v>19000</v>
      </c>
      <c r="L37">
        <f t="shared" si="4"/>
        <v>76000</v>
      </c>
      <c r="M37" s="5">
        <v>33260</v>
      </c>
    </row>
    <row r="38" spans="1:13" x14ac:dyDescent="0.2">
      <c r="A38" s="9" t="s">
        <v>37</v>
      </c>
      <c r="B38">
        <v>3</v>
      </c>
      <c r="C38">
        <v>5</v>
      </c>
      <c r="D38" t="s">
        <v>26</v>
      </c>
      <c r="E38" t="s">
        <v>27</v>
      </c>
      <c r="F38" t="s">
        <v>32</v>
      </c>
      <c r="G38" t="s">
        <v>19</v>
      </c>
      <c r="H38" s="1" t="s">
        <v>33</v>
      </c>
      <c r="I38" s="1" t="s">
        <v>4</v>
      </c>
      <c r="J38" s="3">
        <f t="shared" si="5"/>
        <v>0.51037002314814817</v>
      </c>
      <c r="K38">
        <f>K37+(56-29)*250</f>
        <v>25750</v>
      </c>
      <c r="L38">
        <f t="shared" si="4"/>
        <v>103000</v>
      </c>
      <c r="M38" s="5">
        <v>59970</v>
      </c>
    </row>
    <row r="39" spans="1:13" x14ac:dyDescent="0.2">
      <c r="A39" s="9" t="s">
        <v>37</v>
      </c>
      <c r="B39">
        <v>3</v>
      </c>
      <c r="C39">
        <v>5</v>
      </c>
      <c r="D39" t="s">
        <v>26</v>
      </c>
      <c r="E39" t="s">
        <v>27</v>
      </c>
      <c r="F39" t="s">
        <v>32</v>
      </c>
      <c r="G39" t="s">
        <v>19</v>
      </c>
      <c r="H39" s="1" t="s">
        <v>33</v>
      </c>
      <c r="I39" s="1" t="s">
        <v>5</v>
      </c>
      <c r="J39" s="3">
        <f t="shared" si="5"/>
        <v>0.51069781250000001</v>
      </c>
      <c r="K39">
        <f>K38+(24+4)*250</f>
        <v>32750</v>
      </c>
      <c r="L39">
        <f t="shared" si="4"/>
        <v>131000</v>
      </c>
      <c r="M39" s="5">
        <v>88291</v>
      </c>
    </row>
    <row r="40" spans="1:13" x14ac:dyDescent="0.2">
      <c r="A40" s="9" t="s">
        <v>37</v>
      </c>
      <c r="B40">
        <v>3</v>
      </c>
      <c r="C40">
        <v>5</v>
      </c>
      <c r="D40" t="s">
        <v>26</v>
      </c>
      <c r="E40" t="s">
        <v>27</v>
      </c>
      <c r="F40" t="s">
        <v>32</v>
      </c>
      <c r="G40" t="s">
        <v>19</v>
      </c>
      <c r="H40" s="1" t="s">
        <v>33</v>
      </c>
      <c r="I40" s="1" t="s">
        <v>6</v>
      </c>
      <c r="J40" s="3">
        <f t="shared" si="5"/>
        <v>0.51103467592592589</v>
      </c>
      <c r="K40">
        <f>K39+(53-24)*250</f>
        <v>40000</v>
      </c>
      <c r="L40">
        <f t="shared" si="4"/>
        <v>160000</v>
      </c>
      <c r="M40" s="5">
        <v>117396</v>
      </c>
    </row>
    <row r="41" spans="1:13" x14ac:dyDescent="0.2">
      <c r="A41" s="9" t="s">
        <v>37</v>
      </c>
      <c r="B41">
        <v>3</v>
      </c>
      <c r="C41">
        <v>5</v>
      </c>
      <c r="D41" t="s">
        <v>26</v>
      </c>
      <c r="E41" t="s">
        <v>27</v>
      </c>
      <c r="F41" t="s">
        <v>32</v>
      </c>
      <c r="G41" t="s">
        <v>19</v>
      </c>
      <c r="H41" s="1" t="s">
        <v>33</v>
      </c>
      <c r="I41" s="1" t="s">
        <v>7</v>
      </c>
      <c r="J41" s="3">
        <f t="shared" si="5"/>
        <v>0.51145623842592591</v>
      </c>
      <c r="K41">
        <f>K40+(30+7)*250</f>
        <v>49250</v>
      </c>
      <c r="L41">
        <f t="shared" si="4"/>
        <v>197000</v>
      </c>
      <c r="M41" s="5">
        <v>153819</v>
      </c>
    </row>
    <row r="42" spans="1:13" x14ac:dyDescent="0.2">
      <c r="A42" s="9" t="s">
        <v>37</v>
      </c>
      <c r="B42">
        <v>3</v>
      </c>
      <c r="C42">
        <v>5</v>
      </c>
      <c r="D42" t="s">
        <v>26</v>
      </c>
      <c r="E42" t="s">
        <v>27</v>
      </c>
      <c r="F42" t="s">
        <v>32</v>
      </c>
      <c r="G42" t="s">
        <v>19</v>
      </c>
      <c r="H42" s="1" t="s">
        <v>33</v>
      </c>
      <c r="I42" s="1" t="s">
        <v>8</v>
      </c>
      <c r="J42" s="3">
        <f t="shared" si="5"/>
        <v>0.51185680555555557</v>
      </c>
      <c r="K42">
        <f>K41+(4+30)*250</f>
        <v>57750</v>
      </c>
      <c r="L42">
        <f t="shared" si="4"/>
        <v>231000</v>
      </c>
      <c r="M42" s="5">
        <v>188428</v>
      </c>
    </row>
    <row r="43" spans="1:13" x14ac:dyDescent="0.2">
      <c r="A43" s="9" t="s">
        <v>37</v>
      </c>
      <c r="B43">
        <v>3</v>
      </c>
      <c r="C43">
        <v>5</v>
      </c>
      <c r="D43" t="s">
        <v>26</v>
      </c>
      <c r="E43" t="s">
        <v>27</v>
      </c>
      <c r="F43" t="s">
        <v>32</v>
      </c>
      <c r="G43" t="s">
        <v>20</v>
      </c>
      <c r="H43" s="1" t="s">
        <v>33</v>
      </c>
      <c r="I43" s="1" t="s">
        <v>11</v>
      </c>
      <c r="J43" s="3">
        <f t="shared" si="5"/>
        <v>0.51222876157407404</v>
      </c>
      <c r="K43">
        <f>K42+(37-4)*250</f>
        <v>66000</v>
      </c>
      <c r="L43">
        <f t="shared" si="4"/>
        <v>264000</v>
      </c>
      <c r="M43" s="5">
        <v>220565</v>
      </c>
    </row>
    <row r="44" spans="1:13" x14ac:dyDescent="0.2">
      <c r="A44" s="9" t="s">
        <v>37</v>
      </c>
      <c r="B44">
        <v>3</v>
      </c>
      <c r="C44">
        <v>5</v>
      </c>
      <c r="D44" t="s">
        <v>26</v>
      </c>
      <c r="E44" t="s">
        <v>27</v>
      </c>
      <c r="F44" t="s">
        <v>32</v>
      </c>
      <c r="G44" t="s">
        <v>20</v>
      </c>
      <c r="H44" s="1" t="s">
        <v>33</v>
      </c>
      <c r="I44" s="1" t="s">
        <v>12</v>
      </c>
      <c r="J44" s="3">
        <f>$J$35+M44/1000/86400</f>
        <v>0.51261695601851853</v>
      </c>
      <c r="K44">
        <f>K43+(10+23)*250</f>
        <v>74250</v>
      </c>
      <c r="L44">
        <f>K44/250*1000</f>
        <v>297000</v>
      </c>
      <c r="M44" s="5">
        <v>254105</v>
      </c>
    </row>
    <row r="45" spans="1:13" x14ac:dyDescent="0.2">
      <c r="A45" s="9" t="s">
        <v>37</v>
      </c>
      <c r="B45">
        <v>3</v>
      </c>
      <c r="C45">
        <v>5</v>
      </c>
      <c r="D45" t="s">
        <v>26</v>
      </c>
      <c r="E45" t="s">
        <v>27</v>
      </c>
      <c r="F45" t="s">
        <v>32</v>
      </c>
      <c r="G45" t="s">
        <v>20</v>
      </c>
      <c r="H45" s="1" t="s">
        <v>33</v>
      </c>
      <c r="I45" s="1" t="s">
        <v>13</v>
      </c>
      <c r="J45" s="3">
        <f t="shared" si="5"/>
        <v>0.51332396990740736</v>
      </c>
      <c r="K45">
        <f>K44+(11+50)*250</f>
        <v>89500</v>
      </c>
      <c r="L45">
        <f>K45/250*1000</f>
        <v>358000</v>
      </c>
      <c r="M45" s="5">
        <v>315191</v>
      </c>
    </row>
    <row r="46" spans="1:13" x14ac:dyDescent="0.2">
      <c r="A46" s="9" t="s">
        <v>37</v>
      </c>
      <c r="B46">
        <v>3</v>
      </c>
      <c r="C46">
        <v>5</v>
      </c>
      <c r="D46" t="s">
        <v>26</v>
      </c>
      <c r="E46" t="s">
        <v>27</v>
      </c>
      <c r="F46" t="s">
        <v>32</v>
      </c>
      <c r="G46" t="s">
        <v>20</v>
      </c>
      <c r="H46" s="1" t="s">
        <v>33</v>
      </c>
      <c r="I46" s="1" t="s">
        <v>14</v>
      </c>
      <c r="J46" s="3">
        <f t="shared" si="5"/>
        <v>0.5137117708333333</v>
      </c>
      <c r="K46">
        <f>K45+(45-11)*250</f>
        <v>98000</v>
      </c>
      <c r="L46">
        <f t="shared" si="4"/>
        <v>392000</v>
      </c>
      <c r="M46" s="5">
        <v>348697</v>
      </c>
    </row>
    <row r="47" spans="1:13" x14ac:dyDescent="0.2">
      <c r="A47" s="9" t="s">
        <v>37</v>
      </c>
      <c r="B47">
        <v>3</v>
      </c>
      <c r="C47">
        <v>5</v>
      </c>
      <c r="D47" t="s">
        <v>26</v>
      </c>
      <c r="E47" t="s">
        <v>27</v>
      </c>
      <c r="F47" t="s">
        <v>32</v>
      </c>
      <c r="G47" t="s">
        <v>20</v>
      </c>
      <c r="H47" s="1" t="s">
        <v>33</v>
      </c>
      <c r="I47" s="1" t="s">
        <v>15</v>
      </c>
      <c r="J47" s="3">
        <f t="shared" si="5"/>
        <v>0.5141821875</v>
      </c>
      <c r="K47">
        <f>K46+(15+25)*250</f>
        <v>108000</v>
      </c>
      <c r="L47">
        <f t="shared" si="4"/>
        <v>432000</v>
      </c>
      <c r="M47" s="5">
        <v>389341</v>
      </c>
    </row>
    <row r="48" spans="1:13" x14ac:dyDescent="0.2">
      <c r="A48" s="9" t="s">
        <v>37</v>
      </c>
      <c r="B48">
        <v>3</v>
      </c>
      <c r="C48">
        <v>5</v>
      </c>
      <c r="D48" t="s">
        <v>26</v>
      </c>
      <c r="E48" t="s">
        <v>27</v>
      </c>
      <c r="F48" t="s">
        <v>32</v>
      </c>
      <c r="G48" t="s">
        <v>20</v>
      </c>
      <c r="H48" s="1" t="s">
        <v>33</v>
      </c>
      <c r="I48" s="1" t="s">
        <v>16</v>
      </c>
      <c r="J48" s="3">
        <f t="shared" si="5"/>
        <v>0.5146063657407407</v>
      </c>
      <c r="K48">
        <f>K47+(2+35)*250</f>
        <v>117250</v>
      </c>
      <c r="L48">
        <f t="shared" si="4"/>
        <v>469000</v>
      </c>
      <c r="M48" s="5">
        <v>425990</v>
      </c>
    </row>
    <row r="49" spans="1:13" x14ac:dyDescent="0.2">
      <c r="A49" s="9" t="s">
        <v>37</v>
      </c>
      <c r="B49">
        <v>3</v>
      </c>
      <c r="C49">
        <v>5</v>
      </c>
      <c r="D49" t="s">
        <v>26</v>
      </c>
      <c r="E49" t="s">
        <v>27</v>
      </c>
      <c r="F49" t="s">
        <v>32</v>
      </c>
      <c r="G49" t="s">
        <v>20</v>
      </c>
      <c r="H49" s="1" t="s">
        <v>33</v>
      </c>
      <c r="I49" s="1" t="s">
        <v>17</v>
      </c>
      <c r="J49" s="3">
        <f>$J$35+M49/1000/86400</f>
        <v>0.51504785879629633</v>
      </c>
      <c r="K49">
        <f>K48+(40-2)*250</f>
        <v>126750</v>
      </c>
      <c r="L49">
        <f>K49/250*1000</f>
        <v>507000</v>
      </c>
      <c r="M49" s="5">
        <v>464135</v>
      </c>
    </row>
    <row r="50" spans="1:13" x14ac:dyDescent="0.2">
      <c r="A50" s="10" t="s">
        <v>38</v>
      </c>
      <c r="B50" t="s">
        <v>30</v>
      </c>
      <c r="C50" t="s">
        <v>30</v>
      </c>
      <c r="D50" t="s">
        <v>30</v>
      </c>
      <c r="E50" t="s">
        <v>30</v>
      </c>
      <c r="F50" t="s">
        <v>30</v>
      </c>
      <c r="G50" t="s">
        <v>30</v>
      </c>
      <c r="H50" t="s">
        <v>30</v>
      </c>
      <c r="I50" s="1" t="s">
        <v>9</v>
      </c>
      <c r="J50" s="3">
        <v>0.5161458333333333</v>
      </c>
      <c r="K50">
        <v>0</v>
      </c>
      <c r="L50">
        <v>0</v>
      </c>
      <c r="M50" t="s">
        <v>30</v>
      </c>
    </row>
    <row r="51" spans="1:13" x14ac:dyDescent="0.2">
      <c r="A51" s="10" t="s">
        <v>38</v>
      </c>
      <c r="B51" t="s">
        <v>30</v>
      </c>
      <c r="C51" t="s">
        <v>30</v>
      </c>
      <c r="D51" t="s">
        <v>30</v>
      </c>
      <c r="E51" t="s">
        <v>30</v>
      </c>
      <c r="F51" t="s">
        <v>30</v>
      </c>
      <c r="G51" t="s">
        <v>30</v>
      </c>
      <c r="H51" t="s">
        <v>30</v>
      </c>
      <c r="I51" s="1" t="s">
        <v>10</v>
      </c>
      <c r="J51" s="3">
        <v>0.51656250000000004</v>
      </c>
      <c r="K51">
        <f>(51-15)*250</f>
        <v>9000</v>
      </c>
      <c r="L51">
        <f>K51/250*1000</f>
        <v>36000</v>
      </c>
      <c r="M51" s="5">
        <v>0</v>
      </c>
    </row>
    <row r="52" spans="1:13" x14ac:dyDescent="0.2">
      <c r="A52" s="10" t="s">
        <v>38</v>
      </c>
      <c r="B52">
        <v>4</v>
      </c>
      <c r="C52">
        <v>8</v>
      </c>
      <c r="D52" t="s">
        <v>27</v>
      </c>
      <c r="E52" t="s">
        <v>26</v>
      </c>
      <c r="F52" t="s">
        <v>32</v>
      </c>
      <c r="G52" t="s">
        <v>19</v>
      </c>
      <c r="H52" s="1" t="s">
        <v>34</v>
      </c>
      <c r="I52" s="1" t="s">
        <v>2</v>
      </c>
      <c r="J52" s="3">
        <f>$J$51+M52/1000/86400</f>
        <v>0.51666876157407415</v>
      </c>
      <c r="K52">
        <f>K51+(9)*250</f>
        <v>11250</v>
      </c>
      <c r="L52">
        <f t="shared" ref="L52:L65" si="6">K52/250*1000</f>
        <v>45000</v>
      </c>
      <c r="M52" s="5">
        <v>9181</v>
      </c>
    </row>
    <row r="53" spans="1:13" x14ac:dyDescent="0.2">
      <c r="A53" s="10" t="s">
        <v>38</v>
      </c>
      <c r="B53">
        <v>4</v>
      </c>
      <c r="C53">
        <v>8</v>
      </c>
      <c r="D53" t="s">
        <v>27</v>
      </c>
      <c r="E53" t="s">
        <v>26</v>
      </c>
      <c r="F53" t="s">
        <v>32</v>
      </c>
      <c r="G53" t="s">
        <v>19</v>
      </c>
      <c r="H53" s="1" t="s">
        <v>34</v>
      </c>
      <c r="I53" s="1" t="s">
        <v>3</v>
      </c>
      <c r="J53" s="3">
        <f t="shared" ref="J53:J63" si="7">$J$51+M53/1000/86400</f>
        <v>0.51692377314814819</v>
      </c>
      <c r="K53">
        <f>K52+(22)*250</f>
        <v>16750</v>
      </c>
      <c r="L53">
        <f t="shared" si="6"/>
        <v>67000</v>
      </c>
      <c r="M53" s="5">
        <v>31214</v>
      </c>
    </row>
    <row r="54" spans="1:13" x14ac:dyDescent="0.2">
      <c r="A54" s="10" t="s">
        <v>38</v>
      </c>
      <c r="B54">
        <v>4</v>
      </c>
      <c r="C54">
        <v>8</v>
      </c>
      <c r="D54" t="s">
        <v>27</v>
      </c>
      <c r="E54" t="s">
        <v>26</v>
      </c>
      <c r="F54" t="s">
        <v>32</v>
      </c>
      <c r="G54" t="s">
        <v>19</v>
      </c>
      <c r="H54" s="1" t="s">
        <v>34</v>
      </c>
      <c r="I54" s="1" t="s">
        <v>4</v>
      </c>
      <c r="J54" s="3">
        <f t="shared" si="7"/>
        <v>0.51720409722222227</v>
      </c>
      <c r="K54">
        <f>K53+(46-22)*250</f>
        <v>22750</v>
      </c>
      <c r="L54">
        <f t="shared" si="6"/>
        <v>91000</v>
      </c>
      <c r="M54" s="5">
        <v>55434</v>
      </c>
    </row>
    <row r="55" spans="1:13" x14ac:dyDescent="0.2">
      <c r="A55" s="10" t="s">
        <v>38</v>
      </c>
      <c r="B55">
        <v>4</v>
      </c>
      <c r="C55">
        <v>8</v>
      </c>
      <c r="D55" t="s">
        <v>27</v>
      </c>
      <c r="E55" t="s">
        <v>26</v>
      </c>
      <c r="F55" t="s">
        <v>32</v>
      </c>
      <c r="G55" t="s">
        <v>19</v>
      </c>
      <c r="H55" s="1" t="s">
        <v>34</v>
      </c>
      <c r="I55" s="1" t="s">
        <v>5</v>
      </c>
      <c r="J55" s="3">
        <f t="shared" si="7"/>
        <v>0.51752946759259266</v>
      </c>
      <c r="K55">
        <f>K54+(15+14)*250</f>
        <v>30000</v>
      </c>
      <c r="L55">
        <f t="shared" si="6"/>
        <v>120000</v>
      </c>
      <c r="M55" s="5">
        <v>83546</v>
      </c>
    </row>
    <row r="56" spans="1:13" x14ac:dyDescent="0.2">
      <c r="A56" s="10" t="s">
        <v>38</v>
      </c>
      <c r="B56">
        <v>4</v>
      </c>
      <c r="C56">
        <v>8</v>
      </c>
      <c r="D56" t="s">
        <v>27</v>
      </c>
      <c r="E56" t="s">
        <v>26</v>
      </c>
      <c r="F56" t="s">
        <v>32</v>
      </c>
      <c r="G56" t="s">
        <v>19</v>
      </c>
      <c r="H56" s="1" t="s">
        <v>34</v>
      </c>
      <c r="I56" s="1" t="s">
        <v>6</v>
      </c>
      <c r="J56" s="3">
        <f t="shared" si="7"/>
        <v>0.51785476851851853</v>
      </c>
      <c r="K56">
        <f>K55+(43-15)*250</f>
        <v>37000</v>
      </c>
      <c r="L56">
        <f t="shared" si="6"/>
        <v>148000</v>
      </c>
      <c r="M56" s="5">
        <v>111652</v>
      </c>
    </row>
    <row r="57" spans="1:13" x14ac:dyDescent="0.2">
      <c r="A57" s="10" t="s">
        <v>38</v>
      </c>
      <c r="B57">
        <v>4</v>
      </c>
      <c r="C57">
        <v>8</v>
      </c>
      <c r="D57" t="s">
        <v>27</v>
      </c>
      <c r="E57" t="s">
        <v>26</v>
      </c>
      <c r="F57" t="s">
        <v>32</v>
      </c>
      <c r="G57" t="s">
        <v>19</v>
      </c>
      <c r="H57" s="1" t="s">
        <v>34</v>
      </c>
      <c r="I57" s="1" t="s">
        <v>7</v>
      </c>
      <c r="J57" s="3">
        <f t="shared" si="7"/>
        <v>0.5182108333333334</v>
      </c>
      <c r="K57">
        <f>K56+(17+13)*250</f>
        <v>44500</v>
      </c>
      <c r="L57">
        <f t="shared" si="6"/>
        <v>178000</v>
      </c>
      <c r="M57" s="5">
        <v>142416</v>
      </c>
    </row>
    <row r="58" spans="1:13" x14ac:dyDescent="0.2">
      <c r="A58" s="10" t="s">
        <v>38</v>
      </c>
      <c r="B58">
        <v>4</v>
      </c>
      <c r="C58">
        <v>8</v>
      </c>
      <c r="D58" t="s">
        <v>27</v>
      </c>
      <c r="E58" t="s">
        <v>26</v>
      </c>
      <c r="F58" t="s">
        <v>32</v>
      </c>
      <c r="G58" t="s">
        <v>19</v>
      </c>
      <c r="H58" s="1" t="s">
        <v>34</v>
      </c>
      <c r="I58" s="1" t="s">
        <v>8</v>
      </c>
      <c r="J58" s="3">
        <f t="shared" si="7"/>
        <v>0.51857150462962964</v>
      </c>
      <c r="K58">
        <f>K57+(45-13)*250</f>
        <v>52500</v>
      </c>
      <c r="L58">
        <f t="shared" si="6"/>
        <v>210000</v>
      </c>
      <c r="M58" s="5">
        <v>173578</v>
      </c>
    </row>
    <row r="59" spans="1:13" x14ac:dyDescent="0.2">
      <c r="A59" s="10" t="s">
        <v>38</v>
      </c>
      <c r="B59">
        <v>4</v>
      </c>
      <c r="C59">
        <v>8</v>
      </c>
      <c r="D59" t="s">
        <v>27</v>
      </c>
      <c r="E59" t="s">
        <v>26</v>
      </c>
      <c r="F59" t="s">
        <v>32</v>
      </c>
      <c r="G59" t="s">
        <v>20</v>
      </c>
      <c r="H59" s="1" t="s">
        <v>34</v>
      </c>
      <c r="I59" s="1" t="s">
        <v>11</v>
      </c>
      <c r="J59" s="3">
        <f t="shared" si="7"/>
        <v>0.51901520833333337</v>
      </c>
      <c r="K59">
        <f>K58+(15+23)*250</f>
        <v>62000</v>
      </c>
      <c r="L59">
        <f t="shared" si="6"/>
        <v>248000</v>
      </c>
      <c r="M59" s="5">
        <v>211914</v>
      </c>
    </row>
    <row r="60" spans="1:13" x14ac:dyDescent="0.2">
      <c r="A60" s="10" t="s">
        <v>38</v>
      </c>
      <c r="B60">
        <v>4</v>
      </c>
      <c r="C60">
        <v>8</v>
      </c>
      <c r="D60" t="s">
        <v>27</v>
      </c>
      <c r="E60" t="s">
        <v>26</v>
      </c>
      <c r="F60" t="s">
        <v>32</v>
      </c>
      <c r="G60" t="s">
        <v>20</v>
      </c>
      <c r="H60" s="1" t="s">
        <v>34</v>
      </c>
      <c r="I60" s="1" t="s">
        <v>12</v>
      </c>
      <c r="J60" s="3">
        <f t="shared" si="7"/>
        <v>0.51938591435185189</v>
      </c>
      <c r="K60">
        <f>K59+(55-23)*250</f>
        <v>70000</v>
      </c>
      <c r="L60">
        <f t="shared" si="6"/>
        <v>280000</v>
      </c>
      <c r="M60" s="5">
        <v>243943</v>
      </c>
    </row>
    <row r="61" spans="1:13" x14ac:dyDescent="0.2">
      <c r="A61" s="10" t="s">
        <v>38</v>
      </c>
      <c r="B61">
        <v>4</v>
      </c>
      <c r="C61">
        <v>8</v>
      </c>
      <c r="D61" t="s">
        <v>27</v>
      </c>
      <c r="E61" t="s">
        <v>26</v>
      </c>
      <c r="F61" t="s">
        <v>32</v>
      </c>
      <c r="G61" t="s">
        <v>20</v>
      </c>
      <c r="H61" s="1" t="s">
        <v>34</v>
      </c>
      <c r="I61" s="1" t="s">
        <v>13</v>
      </c>
      <c r="J61" s="3">
        <f t="shared" si="7"/>
        <v>0.5197607870370371</v>
      </c>
      <c r="K61">
        <f>K60+(5+27)*250</f>
        <v>78000</v>
      </c>
      <c r="L61">
        <f t="shared" si="6"/>
        <v>312000</v>
      </c>
      <c r="M61" s="5">
        <v>276332</v>
      </c>
    </row>
    <row r="62" spans="1:13" x14ac:dyDescent="0.2">
      <c r="A62" s="10" t="s">
        <v>38</v>
      </c>
      <c r="B62">
        <v>4</v>
      </c>
      <c r="C62">
        <v>8</v>
      </c>
      <c r="D62" t="s">
        <v>27</v>
      </c>
      <c r="E62" t="s">
        <v>26</v>
      </c>
      <c r="F62" t="s">
        <v>32</v>
      </c>
      <c r="G62" t="s">
        <v>20</v>
      </c>
      <c r="H62" s="1" t="s">
        <v>34</v>
      </c>
      <c r="I62" s="1" t="s">
        <v>14</v>
      </c>
      <c r="J62" s="3">
        <f>$J$51+M62/1000/86400</f>
        <v>0.52015607638888894</v>
      </c>
      <c r="K62">
        <f>K61+(1+33)*250</f>
        <v>86500</v>
      </c>
      <c r="L62">
        <f t="shared" si="6"/>
        <v>346000</v>
      </c>
      <c r="M62" s="5">
        <v>310485</v>
      </c>
    </row>
    <row r="63" spans="1:13" x14ac:dyDescent="0.2">
      <c r="A63" s="10" t="s">
        <v>38</v>
      </c>
      <c r="B63">
        <v>4</v>
      </c>
      <c r="C63">
        <v>8</v>
      </c>
      <c r="D63" t="s">
        <v>27</v>
      </c>
      <c r="E63" t="s">
        <v>26</v>
      </c>
      <c r="F63" t="s">
        <v>32</v>
      </c>
      <c r="G63" t="s">
        <v>20</v>
      </c>
      <c r="H63" s="1" t="s">
        <v>34</v>
      </c>
      <c r="I63" s="1" t="s">
        <v>15</v>
      </c>
      <c r="J63" s="3">
        <f t="shared" si="7"/>
        <v>0.52059626157407413</v>
      </c>
      <c r="K63">
        <f>K62+(40-1)*250</f>
        <v>96250</v>
      </c>
      <c r="L63">
        <f t="shared" si="6"/>
        <v>385000</v>
      </c>
      <c r="M63" s="5">
        <v>348517</v>
      </c>
    </row>
    <row r="64" spans="1:13" x14ac:dyDescent="0.2">
      <c r="A64" s="10" t="s">
        <v>38</v>
      </c>
      <c r="B64">
        <v>4</v>
      </c>
      <c r="C64">
        <v>8</v>
      </c>
      <c r="D64" t="s">
        <v>27</v>
      </c>
      <c r="E64" t="s">
        <v>26</v>
      </c>
      <c r="F64" t="s">
        <v>32</v>
      </c>
      <c r="G64" t="s">
        <v>20</v>
      </c>
      <c r="H64" s="1" t="s">
        <v>34</v>
      </c>
      <c r="I64" s="1" t="s">
        <v>16</v>
      </c>
      <c r="J64" s="3">
        <f>$J$51+M64/1000/86400</f>
        <v>0.52104049768518523</v>
      </c>
      <c r="K64">
        <f>K63+(20+18)*250</f>
        <v>105750</v>
      </c>
      <c r="L64">
        <f>K64/250*1000</f>
        <v>423000</v>
      </c>
      <c r="M64" s="5">
        <v>386899</v>
      </c>
    </row>
    <row r="65" spans="1:13" x14ac:dyDescent="0.2">
      <c r="A65" s="10" t="s">
        <v>38</v>
      </c>
      <c r="B65">
        <v>4</v>
      </c>
      <c r="C65">
        <v>8</v>
      </c>
      <c r="D65" t="s">
        <v>27</v>
      </c>
      <c r="E65" t="s">
        <v>26</v>
      </c>
      <c r="F65" t="s">
        <v>32</v>
      </c>
      <c r="G65" t="s">
        <v>20</v>
      </c>
      <c r="H65" s="1" t="s">
        <v>34</v>
      </c>
      <c r="I65" s="1" t="s">
        <v>17</v>
      </c>
      <c r="J65" s="3">
        <f>$J$51+M65/1000/86400</f>
        <v>0.52148133101851857</v>
      </c>
      <c r="K65">
        <f>K64+(56-18)*250</f>
        <v>115250</v>
      </c>
      <c r="L65">
        <f t="shared" si="6"/>
        <v>461000</v>
      </c>
      <c r="M65" s="5">
        <v>424987</v>
      </c>
    </row>
  </sheetData>
  <autoFilter ref="A1:M65" xr:uid="{E19B3E1E-5733-4A55-B7BD-5E48953F349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Ulises Dominguez Vargas</dc:creator>
  <cp:lastModifiedBy>Albert Guillemette</cp:lastModifiedBy>
  <dcterms:created xsi:type="dcterms:W3CDTF">2024-03-08T16:54:49Z</dcterms:created>
  <dcterms:modified xsi:type="dcterms:W3CDTF">2025-06-02T19:04:38Z</dcterms:modified>
</cp:coreProperties>
</file>